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A Traikverket\Lågtrafikerade banor\Version 230401\"/>
    </mc:Choice>
  </mc:AlternateContent>
  <bookViews>
    <workbookView xWindow="0" yWindow="0" windowWidth="20490" windowHeight="7020"/>
  </bookViews>
  <sheets>
    <sheet name="Beskrivn kalkylvrd" sheetId="14" r:id="rId1"/>
    <sheet name="Underlag bes kalkv" sheetId="17" r:id="rId2"/>
    <sheet name="Kalkylv operativa kostnader lb" sheetId="15" r:id="rId3"/>
    <sheet name="Diskontering" sheetId="4" r:id="rId4"/>
    <sheet name="Kalkylvärden 1" sheetId="12" r:id="rId5"/>
    <sheet name="Operativa kostnader tåg" sheetId="16" r:id="rId6"/>
    <sheet name="Projektspecifikt" sheetId="1" r:id="rId7"/>
    <sheet name="Person UA1" sheetId="6" r:id="rId8"/>
    <sheet name="Gods UA1" sheetId="5" r:id="rId9"/>
    <sheet name="Resultat UA1" sheetId="7" r:id="rId10"/>
    <sheet name="Person UA2" sheetId="8" r:id="rId11"/>
    <sheet name="Gods UA2" sheetId="9" r:id="rId12"/>
    <sheet name="Instruktion UA2 gods" sheetId="10" r:id="rId13"/>
    <sheet name="Resultat UA2" sheetId="11"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0" i="14" l="1"/>
  <c r="F79" i="14"/>
  <c r="E45" i="14" l="1"/>
  <c r="F57" i="14"/>
  <c r="L70" i="14"/>
  <c r="E55" i="14"/>
  <c r="R50" i="17" l="1"/>
  <c r="R43" i="17"/>
  <c r="R44" i="17"/>
  <c r="R45" i="17"/>
  <c r="R42" i="17"/>
  <c r="R34" i="17"/>
  <c r="S34" i="17"/>
  <c r="R35" i="17"/>
  <c r="S35" i="17"/>
  <c r="R36" i="17"/>
  <c r="S36" i="17"/>
  <c r="S33" i="17"/>
  <c r="R33" i="17"/>
  <c r="R25" i="17"/>
  <c r="R26" i="17"/>
  <c r="R27" i="17"/>
  <c r="R24" i="17"/>
  <c r="R19" i="17"/>
  <c r="R17" i="17"/>
  <c r="R18" i="17"/>
  <c r="R16" i="17"/>
  <c r="V12" i="17"/>
  <c r="V11" i="17"/>
  <c r="U10" i="17"/>
  <c r="T10" i="17"/>
  <c r="S10" i="17"/>
  <c r="R10" i="17" l="1"/>
  <c r="O10" i="17" l="1"/>
  <c r="H10" i="17"/>
  <c r="V10" i="17" s="1"/>
  <c r="G19" i="16" l="1"/>
  <c r="G18" i="16"/>
  <c r="G17" i="16"/>
  <c r="G20" i="16"/>
  <c r="G21" i="16"/>
  <c r="G22" i="16"/>
  <c r="G23" i="16"/>
  <c r="G24" i="16"/>
  <c r="I8" i="16"/>
  <c r="I7" i="16"/>
  <c r="AR12" i="9" l="1"/>
  <c r="AQ12" i="9"/>
  <c r="C46" i="14" l="1"/>
  <c r="E46" i="14" s="1"/>
  <c r="C45" i="14"/>
  <c r="J68" i="14"/>
  <c r="J71" i="14" s="1"/>
  <c r="B160" i="12"/>
  <c r="B157" i="12"/>
  <c r="C80" i="14"/>
  <c r="C79" i="14"/>
  <c r="B159" i="12" s="1"/>
  <c r="B164" i="12" l="1"/>
  <c r="G182" i="12" l="1"/>
  <c r="E182" i="12"/>
  <c r="E180" i="12"/>
  <c r="C182" i="12"/>
  <c r="A182" i="12"/>
  <c r="A180" i="12"/>
  <c r="D95" i="14" l="1"/>
  <c r="D157" i="12"/>
  <c r="C96" i="14"/>
  <c r="C95" i="14"/>
  <c r="E54" i="14"/>
  <c r="E53" i="14"/>
  <c r="E52" i="14"/>
  <c r="H93" i="14" l="1"/>
  <c r="D170" i="12" s="1"/>
  <c r="D96" i="14"/>
  <c r="B170" i="12"/>
  <c r="G94" i="14"/>
  <c r="D166" i="12" s="1"/>
  <c r="B166" i="12"/>
  <c r="G93" i="14"/>
  <c r="D169" i="12" s="1"/>
  <c r="B169" i="12"/>
  <c r="E188" i="12"/>
  <c r="A188" i="12"/>
  <c r="AM12" i="9" s="1"/>
  <c r="E186" i="12"/>
  <c r="A186" i="12"/>
  <c r="G180" i="12"/>
  <c r="C180" i="12"/>
  <c r="J70" i="14"/>
  <c r="B162" i="12" s="1"/>
  <c r="H94" i="14" l="1"/>
  <c r="D167" i="12" s="1"/>
  <c r="B167" i="12"/>
  <c r="G188" i="12"/>
  <c r="C188" i="12"/>
  <c r="I41" i="15"/>
  <c r="C78" i="14"/>
  <c r="D159" i="12" s="1"/>
  <c r="J67" i="14"/>
  <c r="L71" i="14" l="1"/>
  <c r="D164" i="12" s="1"/>
  <c r="D162" i="12"/>
  <c r="B22" i="4"/>
  <c r="B67" i="8"/>
  <c r="C67" i="8"/>
  <c r="C66" i="8"/>
  <c r="B66" i="8"/>
  <c r="C67" i="6"/>
  <c r="B67" i="6"/>
  <c r="C66" i="6"/>
  <c r="B66" i="6"/>
  <c r="B136" i="8" l="1"/>
  <c r="B24" i="4"/>
  <c r="B72" i="6"/>
  <c r="B136" i="6"/>
  <c r="E82" i="12"/>
  <c r="C23" i="4" s="1"/>
  <c r="D23" i="4" l="1"/>
  <c r="E23" i="4" l="1"/>
  <c r="F23" i="4" l="1"/>
  <c r="G23" i="4" l="1"/>
  <c r="H23" i="4" l="1"/>
  <c r="I23" i="4" l="1"/>
  <c r="J23" i="4" l="1"/>
  <c r="K23" i="4" l="1"/>
  <c r="L23" i="4" l="1"/>
  <c r="M23" i="4" l="1"/>
  <c r="N23" i="4" l="1"/>
  <c r="O23" i="4" l="1"/>
  <c r="P23" i="4" l="1"/>
  <c r="Q23" i="4" l="1"/>
  <c r="R23" i="4" l="1"/>
  <c r="S23" i="4" l="1"/>
  <c r="T23" i="4" l="1"/>
  <c r="U23" i="4" l="1"/>
  <c r="V23" i="4" l="1"/>
  <c r="W23" i="4" l="1"/>
  <c r="X23" i="4" l="1"/>
  <c r="Y23" i="4" l="1"/>
  <c r="Z23" i="4" l="1"/>
  <c r="AA23" i="4" l="1"/>
  <c r="AB23" i="4" l="1"/>
  <c r="AC23" i="4" l="1"/>
  <c r="AD23" i="4" l="1"/>
  <c r="AE23" i="4" l="1"/>
  <c r="AF23" i="4" l="1"/>
  <c r="AG23" i="4" l="1"/>
  <c r="AH23" i="4" l="1"/>
  <c r="AI23" i="4" l="1"/>
  <c r="AJ23" i="4" l="1"/>
  <c r="AK23" i="4" l="1"/>
  <c r="AL23" i="4" l="1"/>
  <c r="AM23" i="4" l="1"/>
  <c r="AN23" i="4" l="1"/>
  <c r="AO23" i="4" l="1"/>
  <c r="AP23" i="4" l="1"/>
  <c r="AQ23" i="4" l="1"/>
  <c r="AR23" i="4" l="1"/>
  <c r="AS23" i="4" l="1"/>
  <c r="AT23" i="4" l="1"/>
  <c r="AU23" i="4" l="1"/>
  <c r="AV23" i="4" l="1"/>
  <c r="AW23" i="4" l="1"/>
  <c r="AX23" i="4" l="1"/>
  <c r="AY23" i="4" l="1"/>
  <c r="AZ23" i="4" l="1"/>
  <c r="BA23" i="4" l="1"/>
  <c r="BB23" i="4" l="1"/>
  <c r="BC23" i="4" l="1"/>
  <c r="BD23" i="4" l="1"/>
  <c r="BE23" i="4" l="1"/>
  <c r="BF23" i="4" l="1"/>
  <c r="BG23" i="4" l="1"/>
  <c r="BH23" i="4" l="1"/>
  <c r="BI23" i="4" l="1"/>
  <c r="BJ23" i="4" l="1"/>
  <c r="BK23" i="4" l="1"/>
  <c r="BL23" i="4" l="1"/>
  <c r="BM23" i="4" l="1"/>
  <c r="BN23" i="4" l="1"/>
  <c r="BO23" i="4" l="1"/>
  <c r="BP23" i="4" l="1"/>
  <c r="BQ23" i="4" l="1"/>
  <c r="BR23" i="4" l="1"/>
  <c r="BS23" i="4" l="1"/>
  <c r="BT23" i="4" l="1"/>
  <c r="BU23" i="4" l="1"/>
  <c r="BV23" i="4" l="1"/>
  <c r="BW23" i="4" l="1"/>
  <c r="BX23" i="4" l="1"/>
  <c r="BY23" i="4" l="1"/>
  <c r="BZ23" i="4" l="1"/>
  <c r="CA23" i="4" l="1"/>
  <c r="CB23" i="4" l="1"/>
  <c r="CC23" i="4" l="1"/>
  <c r="CD23" i="4" l="1"/>
  <c r="CE23" i="4" l="1"/>
  <c r="CF23" i="4" l="1"/>
  <c r="CG23" i="4" l="1"/>
  <c r="CH23" i="4" l="1"/>
  <c r="CI23" i="4" l="1"/>
  <c r="CJ23" i="4" l="1"/>
  <c r="CK23" i="4" l="1"/>
  <c r="CL23" i="4" l="1"/>
  <c r="CM23" i="4" l="1"/>
  <c r="CN23" i="4" l="1"/>
  <c r="CO23" i="4" l="1"/>
  <c r="CP23" i="4" l="1"/>
  <c r="CQ23" i="4" l="1"/>
  <c r="CR23" i="4" l="1"/>
  <c r="CS23" i="4" l="1"/>
  <c r="CT23" i="4" l="1"/>
  <c r="CU23" i="4" l="1"/>
  <c r="CV23" i="4" l="1"/>
  <c r="CW23" i="4" l="1"/>
  <c r="CX23" i="4" l="1"/>
  <c r="CY23" i="4" l="1"/>
  <c r="CZ23" i="4" l="1"/>
  <c r="DA23" i="4" l="1"/>
  <c r="DB23" i="4" l="1"/>
  <c r="DC23" i="4" l="1"/>
  <c r="DD23" i="4" l="1"/>
  <c r="D7" i="4" l="1"/>
  <c r="D8" i="4"/>
  <c r="E78" i="12"/>
  <c r="C21" i="4" s="1"/>
  <c r="D21" i="4" l="1"/>
  <c r="E21" i="4" s="1"/>
  <c r="F21" i="4" s="1"/>
  <c r="G21" i="4" s="1"/>
  <c r="H21" i="4" s="1"/>
  <c r="I21" i="4" s="1"/>
  <c r="J21" i="4" s="1"/>
  <c r="K21" i="4" s="1"/>
  <c r="L21" i="4" s="1"/>
  <c r="M21" i="4" s="1"/>
  <c r="N21" i="4" s="1"/>
  <c r="O21" i="4" s="1"/>
  <c r="P21" i="4" s="1"/>
  <c r="Q21" i="4" s="1"/>
  <c r="R21" i="4" s="1"/>
  <c r="S21" i="4" s="1"/>
  <c r="T21" i="4" s="1"/>
  <c r="U21" i="4" s="1"/>
  <c r="V21" i="4" s="1"/>
  <c r="W21" i="4" s="1"/>
  <c r="X21" i="4" s="1"/>
  <c r="Y21" i="4" s="1"/>
  <c r="Z21" i="4" s="1"/>
  <c r="AA21" i="4" s="1"/>
  <c r="AB21" i="4" s="1"/>
  <c r="AC21" i="4" s="1"/>
  <c r="AD21" i="4" s="1"/>
  <c r="AE21" i="4" s="1"/>
  <c r="AF21" i="4" s="1"/>
  <c r="AG21" i="4" s="1"/>
  <c r="AH21" i="4" s="1"/>
  <c r="AI21" i="4" s="1"/>
  <c r="AJ21" i="4" s="1"/>
  <c r="AK21" i="4" s="1"/>
  <c r="AL21" i="4" s="1"/>
  <c r="AM21" i="4" s="1"/>
  <c r="AN21" i="4" s="1"/>
  <c r="AO21" i="4" s="1"/>
  <c r="AP21" i="4" s="1"/>
  <c r="AQ21" i="4" s="1"/>
  <c r="AR21" i="4" s="1"/>
  <c r="AS21" i="4" s="1"/>
  <c r="AT21" i="4" s="1"/>
  <c r="AU21" i="4" s="1"/>
  <c r="AV21" i="4" s="1"/>
  <c r="AW21" i="4" s="1"/>
  <c r="AX21" i="4" s="1"/>
  <c r="AY21" i="4" s="1"/>
  <c r="AZ21" i="4" s="1"/>
  <c r="BA21" i="4" s="1"/>
  <c r="BB21" i="4" s="1"/>
  <c r="BC21" i="4" s="1"/>
  <c r="BD21" i="4" s="1"/>
  <c r="BE21" i="4" s="1"/>
  <c r="BF21" i="4" s="1"/>
  <c r="BG21" i="4" s="1"/>
  <c r="BH21" i="4" s="1"/>
  <c r="BI21" i="4" s="1"/>
  <c r="BJ21" i="4" s="1"/>
  <c r="BK21" i="4" s="1"/>
  <c r="BL21" i="4" s="1"/>
  <c r="BM21" i="4" s="1"/>
  <c r="BN21" i="4" s="1"/>
  <c r="BO21" i="4" s="1"/>
  <c r="BP21" i="4" s="1"/>
  <c r="BQ21" i="4" s="1"/>
  <c r="BR21" i="4" s="1"/>
  <c r="BS21" i="4" s="1"/>
  <c r="BT21" i="4" s="1"/>
  <c r="BU21" i="4" s="1"/>
  <c r="BV21" i="4" s="1"/>
  <c r="BW21" i="4" s="1"/>
  <c r="BX21" i="4" s="1"/>
  <c r="BY21" i="4" s="1"/>
  <c r="BZ21" i="4" s="1"/>
  <c r="CA21" i="4" s="1"/>
  <c r="CB21" i="4" s="1"/>
  <c r="CC21" i="4" s="1"/>
  <c r="CD21" i="4" s="1"/>
  <c r="CE21" i="4" s="1"/>
  <c r="CF21" i="4" s="1"/>
  <c r="CG21" i="4" s="1"/>
  <c r="CH21" i="4" s="1"/>
  <c r="CI21" i="4" s="1"/>
  <c r="CJ21" i="4" s="1"/>
  <c r="CK21" i="4" s="1"/>
  <c r="CL21" i="4" s="1"/>
  <c r="CM21" i="4" s="1"/>
  <c r="CN21" i="4" s="1"/>
  <c r="CO21" i="4" s="1"/>
  <c r="CP21" i="4" s="1"/>
  <c r="CQ21" i="4" s="1"/>
  <c r="CR21" i="4" s="1"/>
  <c r="CS21" i="4" s="1"/>
  <c r="CT21" i="4" s="1"/>
  <c r="CU21" i="4" s="1"/>
  <c r="CV21" i="4" s="1"/>
  <c r="CW21" i="4" s="1"/>
  <c r="CX21" i="4" s="1"/>
  <c r="CY21" i="4" s="1"/>
  <c r="CZ21" i="4" s="1"/>
  <c r="DA21" i="4" s="1"/>
  <c r="DB21" i="4" s="1"/>
  <c r="DC21" i="4" s="1"/>
  <c r="DD21" i="4" s="1"/>
  <c r="I68" i="8"/>
  <c r="P32" i="8"/>
  <c r="AC12" i="9" l="1"/>
  <c r="AC13" i="9"/>
  <c r="AC14" i="9"/>
  <c r="AB12" i="9"/>
  <c r="AB13" i="9"/>
  <c r="AA12" i="9"/>
  <c r="AA13" i="9"/>
  <c r="F61" i="6" l="1"/>
  <c r="I66" i="6"/>
  <c r="C26" i="1"/>
  <c r="AT6" i="5"/>
  <c r="AE6" i="5"/>
  <c r="AB6" i="5"/>
  <c r="AF6" i="5"/>
  <c r="B206" i="12" l="1"/>
  <c r="B205" i="12"/>
  <c r="B204" i="12"/>
  <c r="B203" i="12"/>
  <c r="B202" i="12"/>
  <c r="B201" i="12"/>
  <c r="B200" i="12"/>
  <c r="B199" i="12"/>
  <c r="B198" i="12"/>
  <c r="B197" i="12"/>
  <c r="B196" i="12"/>
  <c r="B195" i="12"/>
  <c r="C13" i="14"/>
  <c r="C12" i="14"/>
  <c r="C10" i="14"/>
  <c r="C9" i="14"/>
  <c r="I40" i="15"/>
  <c r="R34" i="15" l="1"/>
  <c r="N34" i="15"/>
  <c r="M100" i="12"/>
  <c r="C31" i="15" l="1"/>
  <c r="E14" i="15"/>
  <c r="K62" i="15"/>
  <c r="K30" i="15"/>
  <c r="G102" i="12"/>
  <c r="B33" i="12" l="1"/>
  <c r="B31" i="12" l="1"/>
  <c r="E20" i="12" l="1"/>
  <c r="K34" i="15" l="1"/>
  <c r="E51" i="14"/>
  <c r="E184" i="12" l="1"/>
  <c r="A184" i="12"/>
  <c r="AK12" i="9" s="1"/>
  <c r="F137" i="12"/>
  <c r="I71" i="15" l="1"/>
  <c r="K70" i="15"/>
  <c r="K69" i="15"/>
  <c r="K68" i="15"/>
  <c r="K67" i="15"/>
  <c r="K49" i="15"/>
  <c r="I52" i="15" s="1"/>
  <c r="I38" i="15"/>
  <c r="K37" i="15"/>
  <c r="K36" i="15"/>
  <c r="K35" i="15"/>
  <c r="K38" i="15" l="1"/>
  <c r="I7" i="15" s="1"/>
  <c r="I51" i="15"/>
  <c r="K71" i="15"/>
  <c r="I73" i="15" l="1"/>
  <c r="I74" i="15"/>
  <c r="I10" i="15" s="1"/>
  <c r="I9" i="15"/>
  <c r="I6" i="15"/>
  <c r="AE12" i="9"/>
  <c r="AE13" i="9"/>
  <c r="A119" i="12"/>
  <c r="B103" i="8" l="1"/>
  <c r="B6" i="5" l="1"/>
  <c r="B101" i="8" l="1"/>
  <c r="C68" i="8" l="1"/>
  <c r="F60" i="8"/>
  <c r="F61" i="8" l="1"/>
  <c r="D13" i="14" l="1"/>
  <c r="A114" i="12" s="1"/>
  <c r="D10" i="14"/>
  <c r="A112" i="12" s="1"/>
  <c r="B103" i="6" l="1"/>
  <c r="C84" i="9" l="1"/>
  <c r="D84" i="9" s="1"/>
  <c r="E84" i="9" s="1"/>
  <c r="F84" i="9" s="1"/>
  <c r="G84" i="9" s="1"/>
  <c r="H84" i="9" s="1"/>
  <c r="I84" i="9" s="1"/>
  <c r="J84" i="9" s="1"/>
  <c r="K84" i="9" s="1"/>
  <c r="L84" i="9" s="1"/>
  <c r="M84" i="9" s="1"/>
  <c r="N84" i="9" s="1"/>
  <c r="O84" i="9" s="1"/>
  <c r="P84" i="9" s="1"/>
  <c r="Q84" i="9" s="1"/>
  <c r="R84" i="9" s="1"/>
  <c r="S84" i="9" s="1"/>
  <c r="T84" i="9" s="1"/>
  <c r="U84" i="9" s="1"/>
  <c r="V84" i="9" s="1"/>
  <c r="W84" i="9" s="1"/>
  <c r="X84" i="9" s="1"/>
  <c r="Y84" i="9" s="1"/>
  <c r="Z84" i="9" s="1"/>
  <c r="AA84" i="9" s="1"/>
  <c r="AB84" i="9" s="1"/>
  <c r="AC84" i="9" s="1"/>
  <c r="AD84" i="9" s="1"/>
  <c r="AE84" i="9" s="1"/>
  <c r="AF84" i="9" s="1"/>
  <c r="AG84" i="9" s="1"/>
  <c r="AH84" i="9" s="1"/>
  <c r="AI84" i="9" s="1"/>
  <c r="AJ84" i="9" s="1"/>
  <c r="AK84" i="9" s="1"/>
  <c r="AL84" i="9" s="1"/>
  <c r="AM84" i="9" s="1"/>
  <c r="AN84" i="9" s="1"/>
  <c r="AO84" i="9" s="1"/>
  <c r="AP84" i="9" s="1"/>
  <c r="C81" i="9"/>
  <c r="D81" i="9" s="1"/>
  <c r="C80" i="9"/>
  <c r="D80" i="9" s="1"/>
  <c r="E80" i="9" s="1"/>
  <c r="F80" i="9" s="1"/>
  <c r="G80" i="9" s="1"/>
  <c r="H80" i="9" s="1"/>
  <c r="I80" i="9" s="1"/>
  <c r="J80" i="9" s="1"/>
  <c r="K80" i="9" s="1"/>
  <c r="L80" i="9" s="1"/>
  <c r="M80" i="9" s="1"/>
  <c r="N80" i="9" s="1"/>
  <c r="O80" i="9" s="1"/>
  <c r="P80" i="9" s="1"/>
  <c r="Q80" i="9" s="1"/>
  <c r="R80" i="9" s="1"/>
  <c r="S80" i="9" s="1"/>
  <c r="T80" i="9" s="1"/>
  <c r="U80" i="9" s="1"/>
  <c r="V80" i="9" s="1"/>
  <c r="W80" i="9" s="1"/>
  <c r="X80" i="9" s="1"/>
  <c r="Y80" i="9" s="1"/>
  <c r="Z80" i="9" s="1"/>
  <c r="AA80" i="9" s="1"/>
  <c r="AB80" i="9" s="1"/>
  <c r="AC80" i="9" s="1"/>
  <c r="AD80" i="9" s="1"/>
  <c r="AE80" i="9" s="1"/>
  <c r="AF80" i="9" s="1"/>
  <c r="AG80" i="9" s="1"/>
  <c r="AH80" i="9" s="1"/>
  <c r="AI80" i="9" s="1"/>
  <c r="AJ80" i="9" s="1"/>
  <c r="AK80" i="9" s="1"/>
  <c r="AL80" i="9" s="1"/>
  <c r="AM80" i="9" s="1"/>
  <c r="AN80" i="9" s="1"/>
  <c r="AO80" i="9" s="1"/>
  <c r="AP80" i="9" s="1"/>
  <c r="AW41" i="9"/>
  <c r="AT41" i="9"/>
  <c r="AS41" i="9"/>
  <c r="AO41" i="9" s="1"/>
  <c r="AR41" i="9"/>
  <c r="AQ41" i="9"/>
  <c r="AN41" i="9"/>
  <c r="AM41" i="9"/>
  <c r="AL41" i="9"/>
  <c r="AK41" i="9"/>
  <c r="AC41" i="9"/>
  <c r="AB41" i="9"/>
  <c r="AA41" i="9"/>
  <c r="AE41" i="9" s="1"/>
  <c r="AG41" i="9" s="1"/>
  <c r="Z41" i="9"/>
  <c r="L41" i="9"/>
  <c r="D41" i="9"/>
  <c r="AW40" i="9"/>
  <c r="AT40" i="9"/>
  <c r="AS40" i="9"/>
  <c r="AO40" i="9" s="1"/>
  <c r="AR40" i="9"/>
  <c r="AQ40" i="9"/>
  <c r="AN40" i="9"/>
  <c r="AM40" i="9"/>
  <c r="AL40" i="9"/>
  <c r="AK40" i="9"/>
  <c r="AC40" i="9"/>
  <c r="AB40" i="9"/>
  <c r="AA40" i="9"/>
  <c r="Z40" i="9"/>
  <c r="L40" i="9"/>
  <c r="D40" i="9"/>
  <c r="AW39" i="9"/>
  <c r="AT39" i="9"/>
  <c r="AS39" i="9"/>
  <c r="AO39" i="9" s="1"/>
  <c r="AR39" i="9"/>
  <c r="AQ39" i="9"/>
  <c r="AN39" i="9"/>
  <c r="AM39" i="9"/>
  <c r="AL39" i="9"/>
  <c r="AK39" i="9"/>
  <c r="AC39" i="9"/>
  <c r="AB39" i="9"/>
  <c r="AA39" i="9"/>
  <c r="AF39" i="9" s="1"/>
  <c r="Z39" i="9"/>
  <c r="L39" i="9"/>
  <c r="D39" i="9"/>
  <c r="AW38" i="9"/>
  <c r="AT38" i="9"/>
  <c r="AS38" i="9"/>
  <c r="AO38" i="9" s="1"/>
  <c r="AR38" i="9"/>
  <c r="AQ38" i="9"/>
  <c r="AN38" i="9"/>
  <c r="AM38" i="9"/>
  <c r="AL38" i="9"/>
  <c r="AK38" i="9"/>
  <c r="AC38" i="9"/>
  <c r="AB38" i="9"/>
  <c r="AA38" i="9"/>
  <c r="AE38" i="9" s="1"/>
  <c r="AG38" i="9" s="1"/>
  <c r="Z38" i="9"/>
  <c r="L38" i="9"/>
  <c r="D38" i="9"/>
  <c r="AW37" i="9"/>
  <c r="AT37" i="9"/>
  <c r="AS37" i="9"/>
  <c r="AO37" i="9" s="1"/>
  <c r="AR37" i="9"/>
  <c r="AQ37" i="9"/>
  <c r="AN37" i="9"/>
  <c r="AM37" i="9"/>
  <c r="AL37" i="9"/>
  <c r="AK37" i="9"/>
  <c r="AC37" i="9"/>
  <c r="AB37" i="9"/>
  <c r="AA37" i="9"/>
  <c r="AE37" i="9" s="1"/>
  <c r="AG37" i="9" s="1"/>
  <c r="Z37" i="9"/>
  <c r="L37" i="9"/>
  <c r="D37" i="9"/>
  <c r="AW36" i="9"/>
  <c r="AT36" i="9"/>
  <c r="AS36" i="9"/>
  <c r="AO36" i="9" s="1"/>
  <c r="AR36" i="9"/>
  <c r="AQ36" i="9"/>
  <c r="AN36" i="9"/>
  <c r="AM36" i="9"/>
  <c r="AL36" i="9"/>
  <c r="AK36" i="9"/>
  <c r="AC36" i="9"/>
  <c r="AB36" i="9"/>
  <c r="AA36" i="9"/>
  <c r="AE36" i="9" s="1"/>
  <c r="AG36" i="9" s="1"/>
  <c r="Z36" i="9"/>
  <c r="L36" i="9"/>
  <c r="D36" i="9"/>
  <c r="AW35" i="9"/>
  <c r="AX35" i="9" s="1"/>
  <c r="AT35" i="9"/>
  <c r="AS35" i="9"/>
  <c r="AO35" i="9" s="1"/>
  <c r="AR35" i="9"/>
  <c r="AQ35" i="9"/>
  <c r="AN35" i="9"/>
  <c r="AM35" i="9"/>
  <c r="AL35" i="9"/>
  <c r="AK35" i="9"/>
  <c r="AC35" i="9"/>
  <c r="AE35" i="9" s="1"/>
  <c r="AG35" i="9" s="1"/>
  <c r="AB35" i="9"/>
  <c r="AA35" i="9"/>
  <c r="Z35" i="9"/>
  <c r="L35" i="9"/>
  <c r="D35" i="9"/>
  <c r="AW34" i="9"/>
  <c r="AX34" i="9" s="1"/>
  <c r="AT34" i="9"/>
  <c r="AS34" i="9"/>
  <c r="AO34" i="9" s="1"/>
  <c r="AR34" i="9"/>
  <c r="AQ34" i="9"/>
  <c r="AN34" i="9"/>
  <c r="AM34" i="9"/>
  <c r="AL34" i="9"/>
  <c r="AK34" i="9"/>
  <c r="AC34" i="9"/>
  <c r="AE34" i="9" s="1"/>
  <c r="AG34" i="9" s="1"/>
  <c r="AB34" i="9"/>
  <c r="AA34" i="9"/>
  <c r="Z34" i="9"/>
  <c r="L34" i="9"/>
  <c r="D34" i="9"/>
  <c r="AW33" i="9"/>
  <c r="AT33" i="9"/>
  <c r="AS33" i="9"/>
  <c r="AO33" i="9" s="1"/>
  <c r="AR33" i="9"/>
  <c r="AQ33" i="9"/>
  <c r="AN33" i="9"/>
  <c r="AM33" i="9"/>
  <c r="AL33" i="9"/>
  <c r="AK33" i="9"/>
  <c r="AC33" i="9"/>
  <c r="AB33" i="9"/>
  <c r="AE33" i="9" s="1"/>
  <c r="AG33" i="9" s="1"/>
  <c r="AA33" i="9"/>
  <c r="Z33" i="9"/>
  <c r="L33" i="9"/>
  <c r="D33" i="9"/>
  <c r="AW32" i="9"/>
  <c r="AT32" i="9"/>
  <c r="AS32" i="9"/>
  <c r="AO32" i="9" s="1"/>
  <c r="AR32" i="9"/>
  <c r="AQ32" i="9"/>
  <c r="AN32" i="9"/>
  <c r="AM32" i="9"/>
  <c r="AL32" i="9"/>
  <c r="AK32" i="9"/>
  <c r="AC32" i="9"/>
  <c r="AB32" i="9"/>
  <c r="AA32" i="9"/>
  <c r="AE32" i="9" s="1"/>
  <c r="AG32" i="9" s="1"/>
  <c r="Z32" i="9"/>
  <c r="L32" i="9"/>
  <c r="D32" i="9"/>
  <c r="AW31" i="9"/>
  <c r="AX31" i="9" s="1"/>
  <c r="AT31" i="9"/>
  <c r="AS31" i="9"/>
  <c r="AO31" i="9" s="1"/>
  <c r="AR31" i="9"/>
  <c r="AQ31" i="9"/>
  <c r="AN31" i="9"/>
  <c r="AM31" i="9"/>
  <c r="AL31" i="9"/>
  <c r="AK31" i="9"/>
  <c r="AC31" i="9"/>
  <c r="AB31" i="9"/>
  <c r="AA31" i="9"/>
  <c r="AF31" i="9" s="1"/>
  <c r="Z31" i="9"/>
  <c r="L31" i="9"/>
  <c r="D31" i="9"/>
  <c r="AW30" i="9"/>
  <c r="AX30" i="9" s="1"/>
  <c r="AT30" i="9"/>
  <c r="AS30" i="9"/>
  <c r="AO30" i="9" s="1"/>
  <c r="AR30" i="9"/>
  <c r="AQ30" i="9"/>
  <c r="AN30" i="9"/>
  <c r="AM30" i="9"/>
  <c r="AL30" i="9"/>
  <c r="AK30" i="9"/>
  <c r="AC30" i="9"/>
  <c r="AB30" i="9"/>
  <c r="AA30" i="9"/>
  <c r="AF30" i="9" s="1"/>
  <c r="Z30" i="9"/>
  <c r="L30" i="9"/>
  <c r="D30" i="9"/>
  <c r="AW29" i="9"/>
  <c r="AT29" i="9"/>
  <c r="AS29" i="9"/>
  <c r="AO29" i="9" s="1"/>
  <c r="AR29" i="9"/>
  <c r="AQ29" i="9"/>
  <c r="AN29" i="9"/>
  <c r="AM29" i="9"/>
  <c r="AL29" i="9"/>
  <c r="AK29" i="9"/>
  <c r="AC29" i="9"/>
  <c r="AB29" i="9"/>
  <c r="AA29" i="9"/>
  <c r="Z29" i="9"/>
  <c r="L29" i="9"/>
  <c r="D29" i="9"/>
  <c r="AW28" i="9"/>
  <c r="AX28" i="9" s="1"/>
  <c r="AT28" i="9"/>
  <c r="AS28" i="9"/>
  <c r="AO28" i="9" s="1"/>
  <c r="AR28" i="9"/>
  <c r="AQ28" i="9"/>
  <c r="AN28" i="9"/>
  <c r="AM28" i="9"/>
  <c r="AL28" i="9"/>
  <c r="AK28" i="9"/>
  <c r="AF28" i="9"/>
  <c r="AC28" i="9"/>
  <c r="AB28" i="9"/>
  <c r="AA28" i="9"/>
  <c r="Z28" i="9"/>
  <c r="L28" i="9"/>
  <c r="D28" i="9"/>
  <c r="AW27" i="9"/>
  <c r="AX27" i="9" s="1"/>
  <c r="AT27" i="9"/>
  <c r="AS27" i="9"/>
  <c r="AO27" i="9" s="1"/>
  <c r="AR27" i="9"/>
  <c r="AQ27" i="9"/>
  <c r="AN27" i="9"/>
  <c r="AM27" i="9"/>
  <c r="AL27" i="9"/>
  <c r="AK27" i="9"/>
  <c r="AC27" i="9"/>
  <c r="AE27" i="9" s="1"/>
  <c r="AG27" i="9" s="1"/>
  <c r="AB27" i="9"/>
  <c r="AA27" i="9"/>
  <c r="Z27" i="9"/>
  <c r="L27" i="9"/>
  <c r="D27" i="9"/>
  <c r="AW26" i="9"/>
  <c r="AT26" i="9"/>
  <c r="AS26" i="9"/>
  <c r="AO26" i="9" s="1"/>
  <c r="AR26" i="9"/>
  <c r="AQ26" i="9"/>
  <c r="AN26" i="9"/>
  <c r="AM26" i="9"/>
  <c r="AL26" i="9"/>
  <c r="AK26" i="9"/>
  <c r="AC26" i="9"/>
  <c r="AB26" i="9"/>
  <c r="AE26" i="9" s="1"/>
  <c r="AG26" i="9" s="1"/>
  <c r="AA26" i="9"/>
  <c r="Z26" i="9"/>
  <c r="L26" i="9"/>
  <c r="D26" i="9"/>
  <c r="AW25" i="9"/>
  <c r="AT25" i="9"/>
  <c r="AS25" i="9"/>
  <c r="AO25" i="9" s="1"/>
  <c r="AR25" i="9"/>
  <c r="AQ25" i="9"/>
  <c r="AN25" i="9"/>
  <c r="AM25" i="9"/>
  <c r="AL25" i="9"/>
  <c r="AK25" i="9"/>
  <c r="AC25" i="9"/>
  <c r="AB25" i="9"/>
  <c r="AA25" i="9"/>
  <c r="AF25" i="9" s="1"/>
  <c r="Z25" i="9"/>
  <c r="L25" i="9"/>
  <c r="D25" i="9"/>
  <c r="AW24" i="9"/>
  <c r="AT24" i="9"/>
  <c r="AS24" i="9"/>
  <c r="AO24" i="9" s="1"/>
  <c r="AR24" i="9"/>
  <c r="AQ24" i="9"/>
  <c r="AN24" i="9"/>
  <c r="AM24" i="9"/>
  <c r="AL24" i="9"/>
  <c r="AK24" i="9"/>
  <c r="AC24" i="9"/>
  <c r="AB24" i="9"/>
  <c r="AA24" i="9"/>
  <c r="Z24" i="9"/>
  <c r="L24" i="9"/>
  <c r="D24" i="9"/>
  <c r="AW23" i="9"/>
  <c r="AX23" i="9" s="1"/>
  <c r="AT23" i="9"/>
  <c r="AS23" i="9"/>
  <c r="AO23" i="9" s="1"/>
  <c r="AR23" i="9"/>
  <c r="AQ23" i="9"/>
  <c r="AN23" i="9"/>
  <c r="AM23" i="9"/>
  <c r="AL23" i="9"/>
  <c r="AK23" i="9"/>
  <c r="AE23" i="9"/>
  <c r="AG23" i="9" s="1"/>
  <c r="AC23" i="9"/>
  <c r="AB23" i="9"/>
  <c r="AA23" i="9"/>
  <c r="AF23" i="9" s="1"/>
  <c r="Z23" i="9"/>
  <c r="L23" i="9"/>
  <c r="D23" i="9"/>
  <c r="AW22" i="9"/>
  <c r="AT22" i="9"/>
  <c r="AS22" i="9"/>
  <c r="AO22" i="9" s="1"/>
  <c r="AR22" i="9"/>
  <c r="AQ22" i="9"/>
  <c r="AN22" i="9"/>
  <c r="AM22" i="9"/>
  <c r="AL22" i="9"/>
  <c r="AK22" i="9"/>
  <c r="AC22" i="9"/>
  <c r="AB22" i="9"/>
  <c r="AA22" i="9"/>
  <c r="Z22" i="9"/>
  <c r="L22" i="9"/>
  <c r="D22" i="9"/>
  <c r="AW21" i="9"/>
  <c r="AT21" i="9"/>
  <c r="AS21" i="9"/>
  <c r="AO21" i="9" s="1"/>
  <c r="AR21" i="9"/>
  <c r="AQ21" i="9"/>
  <c r="AN21" i="9"/>
  <c r="AM21" i="9"/>
  <c r="AL21" i="9"/>
  <c r="AK21" i="9"/>
  <c r="AC21" i="9"/>
  <c r="AE21" i="9" s="1"/>
  <c r="AG21" i="9" s="1"/>
  <c r="AB21" i="9"/>
  <c r="AA21" i="9"/>
  <c r="Z21" i="9"/>
  <c r="L21" i="9"/>
  <c r="D21" i="9"/>
  <c r="AW20" i="9"/>
  <c r="AT20" i="9"/>
  <c r="AS20" i="9"/>
  <c r="AO20" i="9" s="1"/>
  <c r="AR20" i="9"/>
  <c r="AQ20" i="9"/>
  <c r="AN20" i="9"/>
  <c r="AM20" i="9"/>
  <c r="AL20" i="9"/>
  <c r="AK20" i="9"/>
  <c r="AE20" i="9"/>
  <c r="AG20" i="9" s="1"/>
  <c r="AC20" i="9"/>
  <c r="AB20" i="9"/>
  <c r="AA20" i="9"/>
  <c r="AF20" i="9" s="1"/>
  <c r="Z20" i="9"/>
  <c r="L20" i="9"/>
  <c r="D20" i="9"/>
  <c r="AW19" i="9"/>
  <c r="AX19" i="9" s="1"/>
  <c r="AT19" i="9"/>
  <c r="AS19" i="9"/>
  <c r="AO19" i="9" s="1"/>
  <c r="AR19" i="9"/>
  <c r="AQ19" i="9"/>
  <c r="AN19" i="9"/>
  <c r="AM19" i="9"/>
  <c r="AL19" i="9"/>
  <c r="AK19" i="9"/>
  <c r="AC19" i="9"/>
  <c r="AE19" i="9" s="1"/>
  <c r="AG19" i="9" s="1"/>
  <c r="AB19" i="9"/>
  <c r="AA19" i="9"/>
  <c r="Z19" i="9"/>
  <c r="L19" i="9"/>
  <c r="D19" i="9"/>
  <c r="AW18" i="9"/>
  <c r="AT18" i="9"/>
  <c r="AS18" i="9"/>
  <c r="AO18" i="9" s="1"/>
  <c r="AR18" i="9"/>
  <c r="AQ18" i="9"/>
  <c r="AN18" i="9"/>
  <c r="AM18" i="9"/>
  <c r="AL18" i="9"/>
  <c r="AK18" i="9"/>
  <c r="AC18" i="9"/>
  <c r="AB18" i="9"/>
  <c r="AA18" i="9"/>
  <c r="Z18" i="9"/>
  <c r="L18" i="9"/>
  <c r="D18" i="9"/>
  <c r="AW17" i="9"/>
  <c r="AT17" i="9"/>
  <c r="AS17" i="9"/>
  <c r="AO17" i="9" s="1"/>
  <c r="AR17" i="9"/>
  <c r="AQ17" i="9"/>
  <c r="AN17" i="9"/>
  <c r="AM17" i="9"/>
  <c r="AL17" i="9"/>
  <c r="AK17" i="9"/>
  <c r="AC17" i="9"/>
  <c r="AB17" i="9"/>
  <c r="AA17" i="9"/>
  <c r="AF17" i="9" s="1"/>
  <c r="Z17" i="9"/>
  <c r="L17" i="9"/>
  <c r="D17" i="9"/>
  <c r="AW16" i="9"/>
  <c r="AT16" i="9"/>
  <c r="AS16" i="9"/>
  <c r="AO16" i="9" s="1"/>
  <c r="AR16" i="9"/>
  <c r="AQ16" i="9"/>
  <c r="AN16" i="9"/>
  <c r="AM16" i="9"/>
  <c r="AL16" i="9"/>
  <c r="AK16" i="9"/>
  <c r="AC16" i="9"/>
  <c r="AB16" i="9"/>
  <c r="AA16" i="9"/>
  <c r="AF16" i="9" s="1"/>
  <c r="Z16" i="9"/>
  <c r="L16" i="9"/>
  <c r="D16" i="9"/>
  <c r="A16" i="9"/>
  <c r="AW15" i="9"/>
  <c r="AT15" i="9"/>
  <c r="AS15" i="9"/>
  <c r="AO15" i="9" s="1"/>
  <c r="AR15" i="9"/>
  <c r="AQ15" i="9"/>
  <c r="AN15" i="9"/>
  <c r="AM15" i="9"/>
  <c r="AL15" i="9"/>
  <c r="AK15" i="9"/>
  <c r="AC15" i="9"/>
  <c r="AB15" i="9"/>
  <c r="AA15" i="9"/>
  <c r="Z15" i="9"/>
  <c r="L15" i="9"/>
  <c r="D15" i="9"/>
  <c r="A15" i="9"/>
  <c r="AW14" i="9"/>
  <c r="AT14" i="9"/>
  <c r="AS14" i="9"/>
  <c r="AO14" i="9" s="1"/>
  <c r="AR14" i="9"/>
  <c r="AQ14" i="9"/>
  <c r="AN14" i="9"/>
  <c r="AM14" i="9"/>
  <c r="AL14" i="9"/>
  <c r="AK14" i="9"/>
  <c r="AB14" i="9"/>
  <c r="AA14" i="9"/>
  <c r="Z14" i="9"/>
  <c r="L14" i="9"/>
  <c r="D14" i="9"/>
  <c r="A14" i="9"/>
  <c r="AW13" i="9"/>
  <c r="AT13" i="9"/>
  <c r="AS13" i="9"/>
  <c r="AO13" i="9" s="1"/>
  <c r="AR13" i="9"/>
  <c r="AR42" i="9" s="1"/>
  <c r="AQ13" i="9"/>
  <c r="AN13" i="9"/>
  <c r="AM13" i="9"/>
  <c r="AL13" i="9"/>
  <c r="AK13" i="9"/>
  <c r="AF13" i="9"/>
  <c r="AG13" i="9"/>
  <c r="Z13" i="9"/>
  <c r="L13" i="9"/>
  <c r="D13" i="9"/>
  <c r="AW12" i="9"/>
  <c r="AT12" i="9"/>
  <c r="AS12" i="9"/>
  <c r="AN12" i="9"/>
  <c r="AP12" i="9" s="1"/>
  <c r="AL12" i="9"/>
  <c r="AF12" i="9"/>
  <c r="AG12" i="9"/>
  <c r="Z12" i="9"/>
  <c r="L12" i="9"/>
  <c r="D12" i="9"/>
  <c r="Y11" i="9"/>
  <c r="X11" i="9"/>
  <c r="W11" i="9"/>
  <c r="V11" i="9"/>
  <c r="U11" i="9"/>
  <c r="T11" i="9"/>
  <c r="S11" i="9"/>
  <c r="R11" i="9"/>
  <c r="Q11" i="9"/>
  <c r="P11" i="9"/>
  <c r="O11" i="9"/>
  <c r="N11" i="9"/>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C162" i="8"/>
  <c r="AP153" i="8"/>
  <c r="AO153" i="8"/>
  <c r="AN153" i="8"/>
  <c r="AM153" i="8"/>
  <c r="AL153"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C153" i="8"/>
  <c r="AP144" i="8"/>
  <c r="AP143" i="8"/>
  <c r="C123" i="8"/>
  <c r="D123" i="8" s="1"/>
  <c r="E123" i="8" s="1"/>
  <c r="F123" i="8" s="1"/>
  <c r="G123" i="8" s="1"/>
  <c r="H123" i="8" s="1"/>
  <c r="I123" i="8" s="1"/>
  <c r="J123" i="8" s="1"/>
  <c r="K123" i="8" s="1"/>
  <c r="L123" i="8" s="1"/>
  <c r="M123" i="8" s="1"/>
  <c r="N123" i="8" s="1"/>
  <c r="O123" i="8" s="1"/>
  <c r="P123" i="8" s="1"/>
  <c r="Q123" i="8" s="1"/>
  <c r="R123" i="8" s="1"/>
  <c r="S123" i="8" s="1"/>
  <c r="T123" i="8" s="1"/>
  <c r="U123" i="8" s="1"/>
  <c r="V123" i="8" s="1"/>
  <c r="W123" i="8" s="1"/>
  <c r="X123" i="8" s="1"/>
  <c r="Y123" i="8" s="1"/>
  <c r="Z123" i="8" s="1"/>
  <c r="AA123" i="8" s="1"/>
  <c r="AB123" i="8" s="1"/>
  <c r="AC123" i="8" s="1"/>
  <c r="AD123" i="8" s="1"/>
  <c r="AE123" i="8" s="1"/>
  <c r="AF123" i="8" s="1"/>
  <c r="AG123" i="8" s="1"/>
  <c r="AH123" i="8" s="1"/>
  <c r="AI123" i="8" s="1"/>
  <c r="AJ123" i="8" s="1"/>
  <c r="AK123" i="8" s="1"/>
  <c r="AL123" i="8" s="1"/>
  <c r="AM123" i="8" s="1"/>
  <c r="AN123" i="8" s="1"/>
  <c r="AO123" i="8" s="1"/>
  <c r="AP123" i="8" s="1"/>
  <c r="C120" i="8"/>
  <c r="D120" i="8" s="1"/>
  <c r="C119" i="8"/>
  <c r="D119" i="8" s="1"/>
  <c r="E119" i="8" s="1"/>
  <c r="F119" i="8" s="1"/>
  <c r="G119" i="8" s="1"/>
  <c r="H119" i="8" s="1"/>
  <c r="I119" i="8" s="1"/>
  <c r="J119" i="8" s="1"/>
  <c r="K119" i="8" s="1"/>
  <c r="L119" i="8" s="1"/>
  <c r="M119" i="8" s="1"/>
  <c r="N119" i="8" s="1"/>
  <c r="O119" i="8" s="1"/>
  <c r="P119" i="8" s="1"/>
  <c r="Q119" i="8" s="1"/>
  <c r="R119" i="8" s="1"/>
  <c r="S119" i="8" s="1"/>
  <c r="T119" i="8" s="1"/>
  <c r="U119" i="8" s="1"/>
  <c r="V119" i="8" s="1"/>
  <c r="W119" i="8" s="1"/>
  <c r="X119" i="8" s="1"/>
  <c r="Y119" i="8" s="1"/>
  <c r="Z119" i="8" s="1"/>
  <c r="AA119" i="8" s="1"/>
  <c r="AB119" i="8" s="1"/>
  <c r="AC119" i="8" s="1"/>
  <c r="AD119" i="8" s="1"/>
  <c r="AE119" i="8" s="1"/>
  <c r="AF119" i="8" s="1"/>
  <c r="AG119" i="8" s="1"/>
  <c r="AH119" i="8" s="1"/>
  <c r="AI119" i="8" s="1"/>
  <c r="AJ119" i="8" s="1"/>
  <c r="AK119" i="8" s="1"/>
  <c r="AL119" i="8" s="1"/>
  <c r="AM119" i="8" s="1"/>
  <c r="AN119" i="8" s="1"/>
  <c r="AO119" i="8" s="1"/>
  <c r="AP119" i="8" s="1"/>
  <c r="I79" i="8"/>
  <c r="J79" i="8" s="1"/>
  <c r="G79" i="8"/>
  <c r="I78" i="8"/>
  <c r="J78" i="8" s="1"/>
  <c r="G78" i="8"/>
  <c r="I77" i="8"/>
  <c r="J77" i="8" s="1"/>
  <c r="G77" i="8"/>
  <c r="I76" i="8"/>
  <c r="J76" i="8" s="1"/>
  <c r="G76" i="8"/>
  <c r="I75" i="8"/>
  <c r="J75" i="8" s="1"/>
  <c r="G75" i="8"/>
  <c r="I74" i="8"/>
  <c r="J74" i="8" s="1"/>
  <c r="G74" i="8"/>
  <c r="I73" i="8"/>
  <c r="J73" i="8" s="1"/>
  <c r="G73" i="8"/>
  <c r="I72" i="8"/>
  <c r="J72" i="8" s="1"/>
  <c r="G72" i="8"/>
  <c r="I71" i="8"/>
  <c r="J71" i="8" s="1"/>
  <c r="G71" i="8"/>
  <c r="I70" i="8"/>
  <c r="J70" i="8" s="1"/>
  <c r="G70" i="8"/>
  <c r="I69" i="8"/>
  <c r="J69" i="8" s="1"/>
  <c r="G69" i="8"/>
  <c r="C69" i="8"/>
  <c r="B69" i="8"/>
  <c r="J68" i="8"/>
  <c r="G68" i="8"/>
  <c r="B68" i="8"/>
  <c r="I67" i="8"/>
  <c r="J67" i="8" s="1"/>
  <c r="G67" i="8"/>
  <c r="I66" i="8"/>
  <c r="J66" i="8" s="1"/>
  <c r="G66" i="8"/>
  <c r="AJ51" i="8"/>
  <c r="AJ50" i="8"/>
  <c r="H46" i="8"/>
  <c r="AG45" i="8"/>
  <c r="AF45" i="8"/>
  <c r="S45" i="8"/>
  <c r="W45" i="8" s="1"/>
  <c r="AE45" i="8" s="1"/>
  <c r="R45" i="8"/>
  <c r="Q45" i="8"/>
  <c r="U45" i="8" s="1"/>
  <c r="P45" i="8"/>
  <c r="T45" i="8" s="1"/>
  <c r="O45" i="8"/>
  <c r="N45" i="8"/>
  <c r="AG44" i="8"/>
  <c r="AF44" i="8"/>
  <c r="S44" i="8"/>
  <c r="W44" i="8" s="1"/>
  <c r="R44" i="8"/>
  <c r="V44" i="8" s="1"/>
  <c r="Q44" i="8"/>
  <c r="U44" i="8" s="1"/>
  <c r="Y44" i="8" s="1"/>
  <c r="P44" i="8"/>
  <c r="T44" i="8" s="1"/>
  <c r="O44" i="8"/>
  <c r="N44" i="8"/>
  <c r="AG43" i="8"/>
  <c r="AF43" i="8"/>
  <c r="S43" i="8"/>
  <c r="W43" i="8" s="1"/>
  <c r="AE43" i="8" s="1"/>
  <c r="R43" i="8"/>
  <c r="Q43" i="8"/>
  <c r="U43" i="8" s="1"/>
  <c r="P43" i="8"/>
  <c r="T43" i="8" s="1"/>
  <c r="O43" i="8"/>
  <c r="N43" i="8"/>
  <c r="AG42" i="8"/>
  <c r="AF42" i="8"/>
  <c r="S42" i="8"/>
  <c r="W42" i="8" s="1"/>
  <c r="R42" i="8"/>
  <c r="V42" i="8" s="1"/>
  <c r="Q42" i="8"/>
  <c r="U42" i="8" s="1"/>
  <c r="Y42" i="8" s="1"/>
  <c r="P42" i="8"/>
  <c r="T42" i="8" s="1"/>
  <c r="O42" i="8"/>
  <c r="N42" i="8"/>
  <c r="AG41" i="8"/>
  <c r="AF41" i="8"/>
  <c r="S41" i="8"/>
  <c r="W41" i="8" s="1"/>
  <c r="R41" i="8"/>
  <c r="V41" i="8" s="1"/>
  <c r="Q41" i="8"/>
  <c r="U41" i="8" s="1"/>
  <c r="P41" i="8"/>
  <c r="T41" i="8" s="1"/>
  <c r="O41" i="8"/>
  <c r="N41" i="8"/>
  <c r="AG40" i="8"/>
  <c r="AF40" i="8"/>
  <c r="S40" i="8"/>
  <c r="W40" i="8" s="1"/>
  <c r="R40" i="8"/>
  <c r="V40" i="8" s="1"/>
  <c r="Q40" i="8"/>
  <c r="U40" i="8" s="1"/>
  <c r="P40" i="8"/>
  <c r="T40" i="8" s="1"/>
  <c r="O40" i="8"/>
  <c r="N40" i="8"/>
  <c r="AG39" i="8"/>
  <c r="AF39" i="8"/>
  <c r="S39" i="8"/>
  <c r="W39" i="8" s="1"/>
  <c r="AK39" i="8" s="1"/>
  <c r="R39" i="8"/>
  <c r="V39" i="8" s="1"/>
  <c r="Q39" i="8"/>
  <c r="U39" i="8" s="1"/>
  <c r="P39" i="8"/>
  <c r="T39" i="8" s="1"/>
  <c r="O39" i="8"/>
  <c r="N39" i="8"/>
  <c r="AG38" i="8"/>
  <c r="AF38" i="8"/>
  <c r="S38" i="8"/>
  <c r="R38" i="8"/>
  <c r="V38" i="8" s="1"/>
  <c r="Q38" i="8"/>
  <c r="U38" i="8" s="1"/>
  <c r="Y38" i="8" s="1"/>
  <c r="P38" i="8"/>
  <c r="T38" i="8" s="1"/>
  <c r="O38" i="8"/>
  <c r="N38" i="8"/>
  <c r="AG37" i="8"/>
  <c r="AF37" i="8"/>
  <c r="S37" i="8"/>
  <c r="R37" i="8"/>
  <c r="V37" i="8" s="1"/>
  <c r="Q37" i="8"/>
  <c r="U37" i="8" s="1"/>
  <c r="P37" i="8"/>
  <c r="T37" i="8" s="1"/>
  <c r="O37" i="8"/>
  <c r="N37" i="8"/>
  <c r="AG36" i="8"/>
  <c r="AF36" i="8"/>
  <c r="S36" i="8"/>
  <c r="W36" i="8" s="1"/>
  <c r="R36" i="8"/>
  <c r="V36" i="8" s="1"/>
  <c r="Q36" i="8"/>
  <c r="U36" i="8" s="1"/>
  <c r="P36" i="8"/>
  <c r="O36" i="8"/>
  <c r="N36" i="8"/>
  <c r="AG35" i="8"/>
  <c r="AF35" i="8"/>
  <c r="S35" i="8"/>
  <c r="W35" i="8" s="1"/>
  <c r="R35" i="8"/>
  <c r="V35" i="8" s="1"/>
  <c r="Q35" i="8"/>
  <c r="U35" i="8" s="1"/>
  <c r="P35" i="8"/>
  <c r="T35" i="8" s="1"/>
  <c r="O35" i="8"/>
  <c r="N35" i="8"/>
  <c r="AG34" i="8"/>
  <c r="AF34" i="8"/>
  <c r="S34" i="8"/>
  <c r="W34" i="8" s="1"/>
  <c r="R34" i="8"/>
  <c r="V34" i="8" s="1"/>
  <c r="Q34" i="8"/>
  <c r="U34" i="8" s="1"/>
  <c r="AC34" i="8" s="1"/>
  <c r="P34" i="8"/>
  <c r="T34" i="8" s="1"/>
  <c r="O34" i="8"/>
  <c r="N34" i="8"/>
  <c r="AG33" i="8"/>
  <c r="AF33" i="8"/>
  <c r="S33" i="8"/>
  <c r="W33" i="8" s="1"/>
  <c r="R33" i="8"/>
  <c r="V33" i="8" s="1"/>
  <c r="Q33" i="8"/>
  <c r="P33" i="8"/>
  <c r="T33" i="8" s="1"/>
  <c r="O33" i="8"/>
  <c r="N33" i="8"/>
  <c r="AG32" i="8"/>
  <c r="AG46" i="8" s="1"/>
  <c r="AF32" i="8"/>
  <c r="AF46" i="8" s="1"/>
  <c r="S32" i="8"/>
  <c r="R32" i="8"/>
  <c r="Q32" i="8"/>
  <c r="T32" i="8"/>
  <c r="AB32" i="8" s="1"/>
  <c r="O32" i="8"/>
  <c r="N32" i="8"/>
  <c r="S30" i="8"/>
  <c r="AS34" i="8" s="1"/>
  <c r="AS40" i="8" s="1"/>
  <c r="R30" i="8"/>
  <c r="AS33" i="8" s="1"/>
  <c r="Q30" i="8"/>
  <c r="AS32" i="8" s="1"/>
  <c r="AS38" i="8" s="1"/>
  <c r="P30" i="8"/>
  <c r="AS31" i="8" s="1"/>
  <c r="AS37" i="8" s="1"/>
  <c r="B11" i="8"/>
  <c r="C6" i="11"/>
  <c r="D6" i="11" s="1"/>
  <c r="E6" i="11" s="1"/>
  <c r="F6" i="11" s="1"/>
  <c r="G6" i="11" s="1"/>
  <c r="H6" i="11" s="1"/>
  <c r="I6" i="11" s="1"/>
  <c r="J6" i="11" s="1"/>
  <c r="K6" i="11" s="1"/>
  <c r="L6" i="11" s="1"/>
  <c r="M6" i="11" s="1"/>
  <c r="N6" i="11" s="1"/>
  <c r="O6" i="11" s="1"/>
  <c r="P6" i="11" s="1"/>
  <c r="Q6" i="11" s="1"/>
  <c r="R6" i="11" s="1"/>
  <c r="S6" i="11" s="1"/>
  <c r="T6" i="11" s="1"/>
  <c r="U6" i="11" s="1"/>
  <c r="V6" i="11" s="1"/>
  <c r="W6" i="11" s="1"/>
  <c r="X6" i="11" s="1"/>
  <c r="Y6" i="11" s="1"/>
  <c r="Z6" i="11" s="1"/>
  <c r="AA6" i="11" s="1"/>
  <c r="AB6" i="11" s="1"/>
  <c r="AC6" i="11" s="1"/>
  <c r="AD6" i="11" s="1"/>
  <c r="AE6" i="11" s="1"/>
  <c r="AF6" i="11" s="1"/>
  <c r="AG6" i="11" s="1"/>
  <c r="AH6" i="11" s="1"/>
  <c r="AI6" i="11" s="1"/>
  <c r="AJ6" i="11" s="1"/>
  <c r="AK6" i="11" s="1"/>
  <c r="AL6" i="11" s="1"/>
  <c r="AM6" i="11" s="1"/>
  <c r="AN6" i="11" s="1"/>
  <c r="AO6" i="11" s="1"/>
  <c r="AP6" i="11" s="1"/>
  <c r="C6" i="7"/>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N6" i="7" s="1"/>
  <c r="AO6" i="7" s="1"/>
  <c r="AP6" i="7" s="1"/>
  <c r="C71" i="5"/>
  <c r="D71" i="5" s="1"/>
  <c r="E71" i="5" s="1"/>
  <c r="F71" i="5" s="1"/>
  <c r="G71" i="5" s="1"/>
  <c r="H71" i="5" s="1"/>
  <c r="I71" i="5" s="1"/>
  <c r="J71" i="5" s="1"/>
  <c r="K71" i="5" s="1"/>
  <c r="L71" i="5" s="1"/>
  <c r="M71" i="5" s="1"/>
  <c r="N71" i="5" s="1"/>
  <c r="O71" i="5" s="1"/>
  <c r="P71" i="5" s="1"/>
  <c r="Q71" i="5" s="1"/>
  <c r="R71" i="5" s="1"/>
  <c r="S71" i="5" s="1"/>
  <c r="T71" i="5" s="1"/>
  <c r="U71" i="5" s="1"/>
  <c r="V71" i="5" s="1"/>
  <c r="W71" i="5" s="1"/>
  <c r="X71" i="5" s="1"/>
  <c r="Y71" i="5" s="1"/>
  <c r="Z71" i="5" s="1"/>
  <c r="AA71" i="5" s="1"/>
  <c r="AB71" i="5" s="1"/>
  <c r="AC71" i="5" s="1"/>
  <c r="AD71" i="5" s="1"/>
  <c r="AE71" i="5" s="1"/>
  <c r="AF71" i="5" s="1"/>
  <c r="AG71" i="5" s="1"/>
  <c r="AH71" i="5" s="1"/>
  <c r="AI71" i="5" s="1"/>
  <c r="AJ71" i="5" s="1"/>
  <c r="AK71" i="5" s="1"/>
  <c r="AL71" i="5" s="1"/>
  <c r="AM71" i="5" s="1"/>
  <c r="AN71" i="5" s="1"/>
  <c r="AO71" i="5" s="1"/>
  <c r="AP71" i="5" s="1"/>
  <c r="AQ71" i="5" s="1"/>
  <c r="AR71" i="5" s="1"/>
  <c r="AS71" i="5" s="1"/>
  <c r="AT71" i="5" s="1"/>
  <c r="C68" i="5"/>
  <c r="C67" i="5"/>
  <c r="D67" i="5" s="1"/>
  <c r="E67" i="5" s="1"/>
  <c r="F67" i="5" s="1"/>
  <c r="G67" i="5" s="1"/>
  <c r="H67" i="5" s="1"/>
  <c r="I67" i="5" s="1"/>
  <c r="J67" i="5" s="1"/>
  <c r="K67" i="5" s="1"/>
  <c r="L67" i="5" s="1"/>
  <c r="M67" i="5" s="1"/>
  <c r="N67" i="5" s="1"/>
  <c r="O67" i="5" s="1"/>
  <c r="P67" i="5" s="1"/>
  <c r="Q67" i="5" s="1"/>
  <c r="R67" i="5" s="1"/>
  <c r="S67" i="5" s="1"/>
  <c r="T67" i="5" s="1"/>
  <c r="U67" i="5" s="1"/>
  <c r="V67" i="5" s="1"/>
  <c r="W67" i="5" s="1"/>
  <c r="X67" i="5" s="1"/>
  <c r="Y67" i="5" s="1"/>
  <c r="Z67" i="5" s="1"/>
  <c r="AA67" i="5" s="1"/>
  <c r="AB67" i="5" s="1"/>
  <c r="AC67" i="5" s="1"/>
  <c r="AD67" i="5" s="1"/>
  <c r="AE67" i="5" s="1"/>
  <c r="AF67" i="5" s="1"/>
  <c r="AG67" i="5" s="1"/>
  <c r="AH67" i="5" s="1"/>
  <c r="AI67" i="5" s="1"/>
  <c r="AJ67" i="5" s="1"/>
  <c r="AK67" i="5" s="1"/>
  <c r="AL67" i="5" s="1"/>
  <c r="AM67" i="5" s="1"/>
  <c r="AN67" i="5" s="1"/>
  <c r="AO67" i="5" s="1"/>
  <c r="AP67" i="5" s="1"/>
  <c r="AQ67" i="5" s="1"/>
  <c r="AR67" i="5" s="1"/>
  <c r="AS67" i="5" s="1"/>
  <c r="AT67" i="5" s="1"/>
  <c r="AK35" i="5"/>
  <c r="AJ35" i="5"/>
  <c r="AL35" i="5" s="1"/>
  <c r="AE35" i="5"/>
  <c r="AD35" i="5"/>
  <c r="AF35" i="5" s="1"/>
  <c r="AT35" i="5" s="1"/>
  <c r="AB35" i="5"/>
  <c r="X35" i="5"/>
  <c r="AK34" i="5"/>
  <c r="AJ34" i="5"/>
  <c r="AL34" i="5" s="1"/>
  <c r="AE34" i="5"/>
  <c r="AD34" i="5"/>
  <c r="AF34" i="5" s="1"/>
  <c r="AT34" i="5" s="1"/>
  <c r="AB34" i="5"/>
  <c r="X34" i="5"/>
  <c r="AK33" i="5"/>
  <c r="AJ33" i="5"/>
  <c r="AL33" i="5" s="1"/>
  <c r="AE33" i="5"/>
  <c r="AD33" i="5"/>
  <c r="AF33" i="5" s="1"/>
  <c r="AT33" i="5" s="1"/>
  <c r="AB33" i="5"/>
  <c r="X33" i="5"/>
  <c r="AK32" i="5"/>
  <c r="AJ32" i="5"/>
  <c r="AL32" i="5" s="1"/>
  <c r="AE32" i="5"/>
  <c r="AD32" i="5"/>
  <c r="AF32" i="5" s="1"/>
  <c r="AB32" i="5"/>
  <c r="X32" i="5"/>
  <c r="AK31" i="5"/>
  <c r="AJ31" i="5"/>
  <c r="AL31" i="5" s="1"/>
  <c r="AE31" i="5"/>
  <c r="AD31" i="5"/>
  <c r="AF31" i="5" s="1"/>
  <c r="AB31" i="5"/>
  <c r="X31" i="5"/>
  <c r="AK30" i="5"/>
  <c r="AJ30" i="5"/>
  <c r="AL30" i="5" s="1"/>
  <c r="AE30" i="5"/>
  <c r="AD30" i="5"/>
  <c r="AF30" i="5" s="1"/>
  <c r="AB30" i="5"/>
  <c r="X30" i="5"/>
  <c r="AK29" i="5"/>
  <c r="AJ29" i="5"/>
  <c r="AL29" i="5" s="1"/>
  <c r="AE29" i="5"/>
  <c r="AD29" i="5"/>
  <c r="AF29" i="5" s="1"/>
  <c r="AT29" i="5" s="1"/>
  <c r="AB29" i="5"/>
  <c r="X29" i="5"/>
  <c r="AK28" i="5"/>
  <c r="AJ28" i="5"/>
  <c r="AL28" i="5" s="1"/>
  <c r="AE28" i="5"/>
  <c r="AD28" i="5"/>
  <c r="AF28" i="5" s="1"/>
  <c r="AT28" i="5" s="1"/>
  <c r="AB28" i="5"/>
  <c r="X28" i="5"/>
  <c r="AK27" i="5"/>
  <c r="AJ27" i="5"/>
  <c r="AL27" i="5" s="1"/>
  <c r="AE27" i="5"/>
  <c r="AD27" i="5"/>
  <c r="AF27" i="5" s="1"/>
  <c r="AB27" i="5"/>
  <c r="X27" i="5"/>
  <c r="AK26" i="5"/>
  <c r="AJ26" i="5"/>
  <c r="AL26" i="5" s="1"/>
  <c r="AE26" i="5"/>
  <c r="AD26" i="5"/>
  <c r="AF26" i="5" s="1"/>
  <c r="AT26" i="5" s="1"/>
  <c r="AB26" i="5"/>
  <c r="X26" i="5"/>
  <c r="AK25" i="5"/>
  <c r="AJ25" i="5"/>
  <c r="AL25" i="5" s="1"/>
  <c r="AE25" i="5"/>
  <c r="AD25" i="5"/>
  <c r="AF25" i="5" s="1"/>
  <c r="AT25" i="5" s="1"/>
  <c r="AB25" i="5"/>
  <c r="X25" i="5"/>
  <c r="AK24" i="5"/>
  <c r="AJ24" i="5"/>
  <c r="AL24" i="5" s="1"/>
  <c r="AE24" i="5"/>
  <c r="AD24" i="5"/>
  <c r="AF24" i="5" s="1"/>
  <c r="AT24" i="5" s="1"/>
  <c r="AB24" i="5"/>
  <c r="X24" i="5"/>
  <c r="AK23" i="5"/>
  <c r="AJ23" i="5"/>
  <c r="AL23" i="5" s="1"/>
  <c r="AE23" i="5"/>
  <c r="AD23" i="5"/>
  <c r="AF23" i="5" s="1"/>
  <c r="AB23" i="5"/>
  <c r="X23" i="5"/>
  <c r="AK22" i="5"/>
  <c r="AJ22" i="5"/>
  <c r="AL22" i="5" s="1"/>
  <c r="AE22" i="5"/>
  <c r="AD22" i="5"/>
  <c r="AF22" i="5" s="1"/>
  <c r="AT22" i="5" s="1"/>
  <c r="AB22" i="5"/>
  <c r="X22" i="5"/>
  <c r="AK21" i="5"/>
  <c r="AJ21" i="5"/>
  <c r="AL21" i="5" s="1"/>
  <c r="AE21" i="5"/>
  <c r="AD21" i="5"/>
  <c r="AF21" i="5" s="1"/>
  <c r="AB21" i="5"/>
  <c r="X21" i="5"/>
  <c r="AK20" i="5"/>
  <c r="AJ20" i="5"/>
  <c r="AL20" i="5" s="1"/>
  <c r="AE20" i="5"/>
  <c r="AD20" i="5"/>
  <c r="AF20" i="5" s="1"/>
  <c r="AT20" i="5" s="1"/>
  <c r="AB20" i="5"/>
  <c r="X20" i="5"/>
  <c r="AK19" i="5"/>
  <c r="AJ19" i="5"/>
  <c r="AL19" i="5" s="1"/>
  <c r="AE19" i="5"/>
  <c r="AD19" i="5"/>
  <c r="AF19" i="5" s="1"/>
  <c r="AT19" i="5" s="1"/>
  <c r="AB19" i="5"/>
  <c r="X19" i="5"/>
  <c r="AK18" i="5"/>
  <c r="AJ18" i="5"/>
  <c r="AL18" i="5" s="1"/>
  <c r="AE18" i="5"/>
  <c r="AD18" i="5"/>
  <c r="AF18" i="5" s="1"/>
  <c r="AB18" i="5"/>
  <c r="X18" i="5"/>
  <c r="AK17" i="5"/>
  <c r="AJ17" i="5"/>
  <c r="AL17" i="5" s="1"/>
  <c r="AE17" i="5"/>
  <c r="AD17" i="5"/>
  <c r="AF17" i="5" s="1"/>
  <c r="AT17" i="5" s="1"/>
  <c r="AB17" i="5"/>
  <c r="X17" i="5"/>
  <c r="AK16" i="5"/>
  <c r="AJ16" i="5"/>
  <c r="AL16" i="5" s="1"/>
  <c r="AE16" i="5"/>
  <c r="AD16" i="5"/>
  <c r="AF16" i="5" s="1"/>
  <c r="AT16" i="5" s="1"/>
  <c r="AB16" i="5"/>
  <c r="X16" i="5"/>
  <c r="AK15" i="5"/>
  <c r="AJ15" i="5"/>
  <c r="AL15" i="5" s="1"/>
  <c r="AE15" i="5"/>
  <c r="AD15" i="5"/>
  <c r="AF15" i="5" s="1"/>
  <c r="AB15" i="5"/>
  <c r="X15" i="5"/>
  <c r="AK14" i="5"/>
  <c r="AJ14" i="5"/>
  <c r="AL14" i="5" s="1"/>
  <c r="AE14" i="5"/>
  <c r="AD14" i="5"/>
  <c r="AF14" i="5" s="1"/>
  <c r="AT14" i="5" s="1"/>
  <c r="AB14" i="5"/>
  <c r="X14" i="5"/>
  <c r="AK13" i="5"/>
  <c r="AJ13" i="5"/>
  <c r="AL13" i="5" s="1"/>
  <c r="AE13" i="5"/>
  <c r="AD13" i="5"/>
  <c r="AF13" i="5" s="1"/>
  <c r="AB13" i="5"/>
  <c r="X13" i="5"/>
  <c r="AK12" i="5"/>
  <c r="AJ12" i="5"/>
  <c r="AL12" i="5" s="1"/>
  <c r="AE12" i="5"/>
  <c r="AD12" i="5"/>
  <c r="AF12" i="5" s="1"/>
  <c r="AB12" i="5"/>
  <c r="X12" i="5"/>
  <c r="AK11" i="5"/>
  <c r="AJ11" i="5"/>
  <c r="AL11" i="5" s="1"/>
  <c r="AE11" i="5"/>
  <c r="AD11" i="5"/>
  <c r="AF11" i="5" s="1"/>
  <c r="AB11" i="5"/>
  <c r="X11" i="5"/>
  <c r="AK10" i="5"/>
  <c r="AJ10" i="5"/>
  <c r="AL10" i="5" s="1"/>
  <c r="AE10" i="5"/>
  <c r="AD10" i="5"/>
  <c r="AF10" i="5" s="1"/>
  <c r="AB10" i="5"/>
  <c r="X10" i="5"/>
  <c r="AK9" i="5"/>
  <c r="AJ9" i="5"/>
  <c r="AL9" i="5" s="1"/>
  <c r="AE9" i="5"/>
  <c r="AD9" i="5"/>
  <c r="AF9" i="5" s="1"/>
  <c r="AB9" i="5"/>
  <c r="X9" i="5"/>
  <c r="AK8" i="5"/>
  <c r="AJ8" i="5"/>
  <c r="AL8" i="5" s="1"/>
  <c r="AE8" i="5"/>
  <c r="AD8" i="5"/>
  <c r="AF8" i="5" s="1"/>
  <c r="AB8" i="5"/>
  <c r="X8" i="5"/>
  <c r="AK7" i="5"/>
  <c r="AJ7" i="5"/>
  <c r="AL7" i="5" s="1"/>
  <c r="AE7" i="5"/>
  <c r="AD7" i="5"/>
  <c r="AF7" i="5" s="1"/>
  <c r="AB7" i="5"/>
  <c r="X7" i="5"/>
  <c r="AK6" i="5"/>
  <c r="AJ6" i="5"/>
  <c r="AL6" i="5" s="1"/>
  <c r="AD6" i="5"/>
  <c r="X6" i="5"/>
  <c r="W5" i="5"/>
  <c r="V5" i="5"/>
  <c r="U5" i="5"/>
  <c r="T5" i="5"/>
  <c r="S5" i="5"/>
  <c r="R5" i="5"/>
  <c r="Q5" i="5"/>
  <c r="P5" i="5"/>
  <c r="O5" i="5"/>
  <c r="N5" i="5"/>
  <c r="M5" i="5"/>
  <c r="L5" i="5"/>
  <c r="AC2" i="5"/>
  <c r="G2" i="5"/>
  <c r="AP162" i="6"/>
  <c r="AO162" i="6"/>
  <c r="AN162" i="6"/>
  <c r="AM162" i="6"/>
  <c r="AL162" i="6"/>
  <c r="AK162" i="6"/>
  <c r="AJ162" i="6"/>
  <c r="AI162" i="6"/>
  <c r="AH162" i="6"/>
  <c r="AG162" i="6"/>
  <c r="AF162" i="6"/>
  <c r="AE162" i="6"/>
  <c r="AD162" i="6"/>
  <c r="AC162" i="6"/>
  <c r="AB162" i="6"/>
  <c r="AA162" i="6"/>
  <c r="Z162" i="6"/>
  <c r="Y162" i="6"/>
  <c r="X162" i="6"/>
  <c r="W162" i="6"/>
  <c r="V162" i="6"/>
  <c r="U162" i="6"/>
  <c r="T162" i="6"/>
  <c r="S162" i="6"/>
  <c r="R162" i="6"/>
  <c r="Q162" i="6"/>
  <c r="P162" i="6"/>
  <c r="O162" i="6"/>
  <c r="N162" i="6"/>
  <c r="M162" i="6"/>
  <c r="L162" i="6"/>
  <c r="K162" i="6"/>
  <c r="J162" i="6"/>
  <c r="I162" i="6"/>
  <c r="H162" i="6"/>
  <c r="G162" i="6"/>
  <c r="F162" i="6"/>
  <c r="E162" i="6"/>
  <c r="D162" i="6"/>
  <c r="C162" i="6"/>
  <c r="AP153" i="6"/>
  <c r="AO153" i="6"/>
  <c r="AN153" i="6"/>
  <c r="AM153" i="6"/>
  <c r="AL153" i="6"/>
  <c r="AK153" i="6"/>
  <c r="AJ153" i="6"/>
  <c r="AI153" i="6"/>
  <c r="AH153" i="6"/>
  <c r="AG153" i="6"/>
  <c r="AF153" i="6"/>
  <c r="AE153" i="6"/>
  <c r="AD153" i="6"/>
  <c r="AC153" i="6"/>
  <c r="AB153" i="6"/>
  <c r="AA153" i="6"/>
  <c r="Z153" i="6"/>
  <c r="Y153" i="6"/>
  <c r="X153" i="6"/>
  <c r="W153" i="6"/>
  <c r="V153" i="6"/>
  <c r="U153" i="6"/>
  <c r="T153" i="6"/>
  <c r="S153" i="6"/>
  <c r="R153" i="6"/>
  <c r="Q153" i="6"/>
  <c r="P153" i="6"/>
  <c r="O153" i="6"/>
  <c r="N153" i="6"/>
  <c r="M153" i="6"/>
  <c r="L153" i="6"/>
  <c r="K153" i="6"/>
  <c r="J153" i="6"/>
  <c r="I153" i="6"/>
  <c r="H153" i="6"/>
  <c r="G153" i="6"/>
  <c r="F153" i="6"/>
  <c r="E153" i="6"/>
  <c r="D153" i="6"/>
  <c r="C153" i="6"/>
  <c r="AP144" i="6"/>
  <c r="AP143" i="6"/>
  <c r="C123" i="6"/>
  <c r="D123" i="6" s="1"/>
  <c r="E123" i="6" s="1"/>
  <c r="F123" i="6" s="1"/>
  <c r="G123" i="6" s="1"/>
  <c r="H123" i="6" s="1"/>
  <c r="I123" i="6" s="1"/>
  <c r="J123" i="6" s="1"/>
  <c r="K123" i="6" s="1"/>
  <c r="L123" i="6" s="1"/>
  <c r="M123" i="6" s="1"/>
  <c r="N123" i="6" s="1"/>
  <c r="O123" i="6" s="1"/>
  <c r="P123" i="6" s="1"/>
  <c r="Q123" i="6" s="1"/>
  <c r="R123" i="6" s="1"/>
  <c r="S123" i="6" s="1"/>
  <c r="T123" i="6" s="1"/>
  <c r="U123" i="6" s="1"/>
  <c r="V123" i="6" s="1"/>
  <c r="W123" i="6" s="1"/>
  <c r="X123" i="6" s="1"/>
  <c r="Y123" i="6" s="1"/>
  <c r="Z123" i="6" s="1"/>
  <c r="AA123" i="6" s="1"/>
  <c r="AB123" i="6" s="1"/>
  <c r="AC123" i="6" s="1"/>
  <c r="AD123" i="6" s="1"/>
  <c r="AE123" i="6" s="1"/>
  <c r="AF123" i="6" s="1"/>
  <c r="AG123" i="6" s="1"/>
  <c r="AH123" i="6" s="1"/>
  <c r="AI123" i="6" s="1"/>
  <c r="AJ123" i="6" s="1"/>
  <c r="AK123" i="6" s="1"/>
  <c r="AL123" i="6" s="1"/>
  <c r="AM123" i="6" s="1"/>
  <c r="AN123" i="6" s="1"/>
  <c r="AO123" i="6" s="1"/>
  <c r="AP123" i="6" s="1"/>
  <c r="C120" i="6"/>
  <c r="D120" i="6" s="1"/>
  <c r="D121" i="6" s="1"/>
  <c r="C119" i="6"/>
  <c r="D119" i="6" s="1"/>
  <c r="E119" i="6" s="1"/>
  <c r="F119" i="6" s="1"/>
  <c r="G119" i="6" s="1"/>
  <c r="H119" i="6" s="1"/>
  <c r="I119" i="6" s="1"/>
  <c r="J119" i="6" s="1"/>
  <c r="K119" i="6" s="1"/>
  <c r="L119" i="6" s="1"/>
  <c r="M119" i="6" s="1"/>
  <c r="N119" i="6" s="1"/>
  <c r="O119" i="6" s="1"/>
  <c r="P119" i="6" s="1"/>
  <c r="Q119" i="6" s="1"/>
  <c r="R119" i="6" s="1"/>
  <c r="S119" i="6" s="1"/>
  <c r="T119" i="6" s="1"/>
  <c r="U119" i="6" s="1"/>
  <c r="V119" i="6" s="1"/>
  <c r="W119" i="6" s="1"/>
  <c r="X119" i="6" s="1"/>
  <c r="Y119" i="6" s="1"/>
  <c r="Z119" i="6" s="1"/>
  <c r="AA119" i="6" s="1"/>
  <c r="AB119" i="6" s="1"/>
  <c r="AC119" i="6" s="1"/>
  <c r="AD119" i="6" s="1"/>
  <c r="AE119" i="6" s="1"/>
  <c r="AF119" i="6" s="1"/>
  <c r="AG119" i="6" s="1"/>
  <c r="AH119" i="6" s="1"/>
  <c r="AI119" i="6" s="1"/>
  <c r="AJ119" i="6" s="1"/>
  <c r="AK119" i="6" s="1"/>
  <c r="AL119" i="6" s="1"/>
  <c r="AM119" i="6" s="1"/>
  <c r="AN119" i="6" s="1"/>
  <c r="AO119" i="6" s="1"/>
  <c r="AP119" i="6" s="1"/>
  <c r="B101" i="6"/>
  <c r="I79" i="6"/>
  <c r="J79" i="6" s="1"/>
  <c r="G79" i="6"/>
  <c r="I78" i="6"/>
  <c r="J78" i="6" s="1"/>
  <c r="G78" i="6"/>
  <c r="I77" i="6"/>
  <c r="J77" i="6" s="1"/>
  <c r="G77" i="6"/>
  <c r="I76" i="6"/>
  <c r="J76" i="6" s="1"/>
  <c r="G76" i="6"/>
  <c r="I75" i="6"/>
  <c r="J75" i="6" s="1"/>
  <c r="G75" i="6"/>
  <c r="I74" i="6"/>
  <c r="J74" i="6" s="1"/>
  <c r="G74" i="6"/>
  <c r="I73" i="6"/>
  <c r="J73" i="6" s="1"/>
  <c r="G73" i="6"/>
  <c r="I72" i="6"/>
  <c r="J72" i="6" s="1"/>
  <c r="G72" i="6"/>
  <c r="I71" i="6"/>
  <c r="J71" i="6" s="1"/>
  <c r="G71" i="6"/>
  <c r="I70" i="6"/>
  <c r="J70" i="6" s="1"/>
  <c r="G70" i="6"/>
  <c r="I69" i="6"/>
  <c r="J69" i="6" s="1"/>
  <c r="G69" i="6"/>
  <c r="C69" i="6"/>
  <c r="B69" i="6"/>
  <c r="I68" i="6"/>
  <c r="J68" i="6" s="1"/>
  <c r="G68" i="6"/>
  <c r="C68" i="6"/>
  <c r="B68" i="6"/>
  <c r="I67" i="6"/>
  <c r="J67" i="6" s="1"/>
  <c r="G67" i="6"/>
  <c r="J66" i="6"/>
  <c r="G66" i="6"/>
  <c r="AJ51" i="6"/>
  <c r="AJ50" i="6"/>
  <c r="H46" i="6"/>
  <c r="AG45" i="6"/>
  <c r="AF45" i="6"/>
  <c r="V45" i="6"/>
  <c r="S45" i="6"/>
  <c r="W45" i="6" s="1"/>
  <c r="AE45" i="6" s="1"/>
  <c r="R45" i="6"/>
  <c r="Q45" i="6"/>
  <c r="U45" i="6" s="1"/>
  <c r="P45" i="6"/>
  <c r="T45" i="6" s="1"/>
  <c r="AL45" i="6" s="1"/>
  <c r="O45" i="6"/>
  <c r="N45" i="6"/>
  <c r="AG44" i="6"/>
  <c r="AF44" i="6"/>
  <c r="S44" i="6"/>
  <c r="W44" i="6" s="1"/>
  <c r="AE44" i="6" s="1"/>
  <c r="R44" i="6"/>
  <c r="V44" i="6" s="1"/>
  <c r="Q44" i="6"/>
  <c r="U44" i="6" s="1"/>
  <c r="P44" i="6"/>
  <c r="T44" i="6" s="1"/>
  <c r="AL44" i="6" s="1"/>
  <c r="O44" i="6"/>
  <c r="N44" i="6"/>
  <c r="AG43" i="6"/>
  <c r="AF43" i="6"/>
  <c r="S43" i="6"/>
  <c r="W43" i="6" s="1"/>
  <c r="AE43" i="6" s="1"/>
  <c r="R43" i="6"/>
  <c r="V43" i="6" s="1"/>
  <c r="Q43" i="6"/>
  <c r="U43" i="6" s="1"/>
  <c r="P43" i="6"/>
  <c r="T43" i="6" s="1"/>
  <c r="AL43" i="6" s="1"/>
  <c r="O43" i="6"/>
  <c r="N43" i="6"/>
  <c r="AG42" i="6"/>
  <c r="AF42" i="6"/>
  <c r="S42" i="6"/>
  <c r="W42" i="6" s="1"/>
  <c r="AE42" i="6" s="1"/>
  <c r="R42" i="6"/>
  <c r="V42" i="6" s="1"/>
  <c r="Q42" i="6"/>
  <c r="U42" i="6" s="1"/>
  <c r="P42" i="6"/>
  <c r="T42" i="6" s="1"/>
  <c r="AL42" i="6" s="1"/>
  <c r="O42" i="6"/>
  <c r="N42" i="6"/>
  <c r="AG41" i="6"/>
  <c r="AF41" i="6"/>
  <c r="V41" i="6"/>
  <c r="S41" i="6"/>
  <c r="W41" i="6" s="1"/>
  <c r="AE41" i="6" s="1"/>
  <c r="R41" i="6"/>
  <c r="Q41" i="6"/>
  <c r="U41" i="6" s="1"/>
  <c r="AM41" i="6" s="1"/>
  <c r="P41" i="6"/>
  <c r="T41" i="6" s="1"/>
  <c r="AL41" i="6" s="1"/>
  <c r="O41" i="6"/>
  <c r="N41" i="6"/>
  <c r="AG40" i="6"/>
  <c r="AF40" i="6"/>
  <c r="S40" i="6"/>
  <c r="W40" i="6" s="1"/>
  <c r="AE40" i="6" s="1"/>
  <c r="R40" i="6"/>
  <c r="V40" i="6" s="1"/>
  <c r="Q40" i="6"/>
  <c r="U40" i="6" s="1"/>
  <c r="P40" i="6"/>
  <c r="T40" i="6" s="1"/>
  <c r="O40" i="6"/>
  <c r="N40" i="6"/>
  <c r="AG39" i="6"/>
  <c r="AF39" i="6"/>
  <c r="S39" i="6"/>
  <c r="W39" i="6" s="1"/>
  <c r="AE39" i="6" s="1"/>
  <c r="R39" i="6"/>
  <c r="V39" i="6" s="1"/>
  <c r="Q39" i="6"/>
  <c r="U39" i="6" s="1"/>
  <c r="P39" i="6"/>
  <c r="T39" i="6" s="1"/>
  <c r="O39" i="6"/>
  <c r="N39" i="6"/>
  <c r="AG38" i="6"/>
  <c r="AF38" i="6"/>
  <c r="S38" i="6"/>
  <c r="W38" i="6" s="1"/>
  <c r="AE38" i="6" s="1"/>
  <c r="R38" i="6"/>
  <c r="V38" i="6" s="1"/>
  <c r="Q38" i="6"/>
  <c r="U38" i="6" s="1"/>
  <c r="P38" i="6"/>
  <c r="T38" i="6" s="1"/>
  <c r="O38" i="6"/>
  <c r="N38" i="6"/>
  <c r="AG37" i="6"/>
  <c r="AF37" i="6"/>
  <c r="S37" i="6"/>
  <c r="W37" i="6" s="1"/>
  <c r="AE37" i="6" s="1"/>
  <c r="R37" i="6"/>
  <c r="V37" i="6" s="1"/>
  <c r="Q37" i="6"/>
  <c r="U37" i="6" s="1"/>
  <c r="P37" i="6"/>
  <c r="T37" i="6" s="1"/>
  <c r="O37" i="6"/>
  <c r="N37" i="6"/>
  <c r="AG36" i="6"/>
  <c r="AF36" i="6"/>
  <c r="S36" i="6"/>
  <c r="W36" i="6" s="1"/>
  <c r="AE36" i="6" s="1"/>
  <c r="R36" i="6"/>
  <c r="V36" i="6" s="1"/>
  <c r="Q36" i="6"/>
  <c r="U36" i="6" s="1"/>
  <c r="P36" i="6"/>
  <c r="T36" i="6" s="1"/>
  <c r="O36" i="6"/>
  <c r="N36" i="6"/>
  <c r="AG35" i="6"/>
  <c r="AF35" i="6"/>
  <c r="S35" i="6"/>
  <c r="W35" i="6" s="1"/>
  <c r="AE35" i="6" s="1"/>
  <c r="R35" i="6"/>
  <c r="V35" i="6" s="1"/>
  <c r="Q35" i="6"/>
  <c r="U35" i="6" s="1"/>
  <c r="P35" i="6"/>
  <c r="T35" i="6" s="1"/>
  <c r="O35" i="6"/>
  <c r="N35" i="6"/>
  <c r="AG34" i="6"/>
  <c r="AF34" i="6"/>
  <c r="S34" i="6"/>
  <c r="W34" i="6" s="1"/>
  <c r="AE34" i="6" s="1"/>
  <c r="R34" i="6"/>
  <c r="V34" i="6" s="1"/>
  <c r="Q34" i="6"/>
  <c r="U34" i="6" s="1"/>
  <c r="P34" i="6"/>
  <c r="T34" i="6" s="1"/>
  <c r="O34" i="6"/>
  <c r="N34" i="6"/>
  <c r="AG33" i="6"/>
  <c r="AF33" i="6"/>
  <c r="S33" i="6"/>
  <c r="W33" i="6" s="1"/>
  <c r="AE33" i="6" s="1"/>
  <c r="R33" i="6"/>
  <c r="V33" i="6" s="1"/>
  <c r="Q33" i="6"/>
  <c r="U33" i="6" s="1"/>
  <c r="P33" i="6"/>
  <c r="T33" i="6" s="1"/>
  <c r="O33" i="6"/>
  <c r="N33" i="6"/>
  <c r="AG32" i="6"/>
  <c r="AF32" i="6"/>
  <c r="S32" i="6"/>
  <c r="R32" i="6"/>
  <c r="Q32" i="6"/>
  <c r="P32" i="6"/>
  <c r="O32" i="6"/>
  <c r="N32" i="6"/>
  <c r="B11" i="6"/>
  <c r="T40" i="1"/>
  <c r="C39" i="1"/>
  <c r="D39" i="1" s="1"/>
  <c r="E39" i="1" s="1"/>
  <c r="F39" i="1" s="1"/>
  <c r="G39" i="1" s="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T38" i="1"/>
  <c r="C37" i="1"/>
  <c r="D37" i="1" s="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AP37" i="1" s="1"/>
  <c r="T36" i="1"/>
  <c r="C35" i="1"/>
  <c r="D35" i="1" s="1"/>
  <c r="E35" i="1" s="1"/>
  <c r="F35" i="1" s="1"/>
  <c r="G35" i="1" s="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AN35" i="1" s="1"/>
  <c r="AO35" i="1" s="1"/>
  <c r="AP35" i="1" s="1"/>
  <c r="C34" i="1"/>
  <c r="D34" i="1" s="1"/>
  <c r="E34" i="1" s="1"/>
  <c r="F34" i="1" s="1"/>
  <c r="G34" i="1" s="1"/>
  <c r="H34" i="1" s="1"/>
  <c r="I34" i="1" s="1"/>
  <c r="J34" i="1" s="1"/>
  <c r="K34" i="1" s="1"/>
  <c r="L34" i="1" s="1"/>
  <c r="M34" i="1" s="1"/>
  <c r="N34" i="1" s="1"/>
  <c r="O34" i="1" s="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D26" i="1"/>
  <c r="D24" i="1"/>
  <c r="C23" i="1"/>
  <c r="D23" i="1" s="1"/>
  <c r="E23" i="1" s="1"/>
  <c r="F23" i="1" s="1"/>
  <c r="G23" i="1" s="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B151" i="12"/>
  <c r="B150" i="12"/>
  <c r="B149" i="12"/>
  <c r="B148" i="12"/>
  <c r="B147" i="12"/>
  <c r="B146" i="12"/>
  <c r="B145" i="12"/>
  <c r="B144" i="12"/>
  <c r="H99" i="12"/>
  <c r="H98" i="12"/>
  <c r="H102" i="12" s="1"/>
  <c r="O67" i="12"/>
  <c r="B40" i="12"/>
  <c r="B38" i="12"/>
  <c r="B37" i="12"/>
  <c r="B36" i="12"/>
  <c r="B35" i="12"/>
  <c r="B34" i="12"/>
  <c r="N23" i="12"/>
  <c r="M23" i="12"/>
  <c r="C78" i="4"/>
  <c r="D78" i="4" s="1"/>
  <c r="E78" i="4" s="1"/>
  <c r="F78" i="4" s="1"/>
  <c r="G78" i="4" s="1"/>
  <c r="H78" i="4" s="1"/>
  <c r="I78" i="4" s="1"/>
  <c r="J78" i="4" s="1"/>
  <c r="K78" i="4" s="1"/>
  <c r="L78" i="4" s="1"/>
  <c r="M78" i="4" s="1"/>
  <c r="N78" i="4" s="1"/>
  <c r="O78" i="4" s="1"/>
  <c r="P78" i="4" s="1"/>
  <c r="Q78" i="4" s="1"/>
  <c r="R78" i="4" s="1"/>
  <c r="S78" i="4" s="1"/>
  <c r="T78" i="4" s="1"/>
  <c r="U78" i="4" s="1"/>
  <c r="V78" i="4" s="1"/>
  <c r="W78" i="4" s="1"/>
  <c r="X78" i="4" s="1"/>
  <c r="Y78" i="4" s="1"/>
  <c r="Z78" i="4" s="1"/>
  <c r="AA78" i="4" s="1"/>
  <c r="AB78" i="4" s="1"/>
  <c r="AC78" i="4" s="1"/>
  <c r="AD78" i="4" s="1"/>
  <c r="AE78" i="4" s="1"/>
  <c r="AF78" i="4" s="1"/>
  <c r="AG78" i="4" s="1"/>
  <c r="AH78" i="4" s="1"/>
  <c r="AI78" i="4" s="1"/>
  <c r="AJ78" i="4" s="1"/>
  <c r="AK78" i="4" s="1"/>
  <c r="AL78" i="4" s="1"/>
  <c r="AM78" i="4" s="1"/>
  <c r="AN78" i="4" s="1"/>
  <c r="AO78" i="4" s="1"/>
  <c r="AP78" i="4" s="1"/>
  <c r="C72" i="4"/>
  <c r="D72" i="4" s="1"/>
  <c r="E72" i="4" s="1"/>
  <c r="F72" i="4" s="1"/>
  <c r="G72" i="4" s="1"/>
  <c r="H72" i="4" s="1"/>
  <c r="I72" i="4" s="1"/>
  <c r="J72" i="4" s="1"/>
  <c r="K72" i="4" s="1"/>
  <c r="L72" i="4" s="1"/>
  <c r="M72" i="4" s="1"/>
  <c r="N72" i="4" s="1"/>
  <c r="O72" i="4" s="1"/>
  <c r="P72" i="4" s="1"/>
  <c r="Q72" i="4" s="1"/>
  <c r="R72" i="4" s="1"/>
  <c r="S72" i="4" s="1"/>
  <c r="T72" i="4" s="1"/>
  <c r="U72" i="4" s="1"/>
  <c r="V72" i="4" s="1"/>
  <c r="W72" i="4" s="1"/>
  <c r="X72" i="4" s="1"/>
  <c r="Y72" i="4" s="1"/>
  <c r="Z72" i="4" s="1"/>
  <c r="AA72" i="4" s="1"/>
  <c r="AB72" i="4" s="1"/>
  <c r="AC72" i="4" s="1"/>
  <c r="AD72" i="4" s="1"/>
  <c r="AE72" i="4" s="1"/>
  <c r="AF72" i="4" s="1"/>
  <c r="AG72" i="4" s="1"/>
  <c r="AH72" i="4" s="1"/>
  <c r="AI72" i="4" s="1"/>
  <c r="AJ72" i="4" s="1"/>
  <c r="AK72" i="4" s="1"/>
  <c r="AL72" i="4" s="1"/>
  <c r="AM72" i="4" s="1"/>
  <c r="AN72" i="4" s="1"/>
  <c r="AO72" i="4" s="1"/>
  <c r="AP72" i="4" s="1"/>
  <c r="C67" i="4"/>
  <c r="D67" i="4" s="1"/>
  <c r="E67" i="4" s="1"/>
  <c r="F67" i="4" s="1"/>
  <c r="G67" i="4" s="1"/>
  <c r="H67" i="4" s="1"/>
  <c r="I67" i="4" s="1"/>
  <c r="J67" i="4" s="1"/>
  <c r="K67" i="4" s="1"/>
  <c r="L67" i="4" s="1"/>
  <c r="M67" i="4" s="1"/>
  <c r="N67" i="4" s="1"/>
  <c r="O67" i="4" s="1"/>
  <c r="P67" i="4" s="1"/>
  <c r="Q67" i="4" s="1"/>
  <c r="R67" i="4" s="1"/>
  <c r="S67" i="4" s="1"/>
  <c r="T67" i="4" s="1"/>
  <c r="U67" i="4" s="1"/>
  <c r="V67" i="4" s="1"/>
  <c r="W67" i="4" s="1"/>
  <c r="X67" i="4" s="1"/>
  <c r="Y67" i="4" s="1"/>
  <c r="Z67" i="4" s="1"/>
  <c r="AA67" i="4" s="1"/>
  <c r="AB67" i="4" s="1"/>
  <c r="AC67" i="4" s="1"/>
  <c r="AD67" i="4" s="1"/>
  <c r="AE67" i="4" s="1"/>
  <c r="AF67" i="4" s="1"/>
  <c r="AG67" i="4" s="1"/>
  <c r="AH67" i="4" s="1"/>
  <c r="AI67" i="4" s="1"/>
  <c r="AJ67" i="4" s="1"/>
  <c r="AK67" i="4" s="1"/>
  <c r="AL67" i="4" s="1"/>
  <c r="AM67" i="4" s="1"/>
  <c r="AN67" i="4" s="1"/>
  <c r="AO67" i="4" s="1"/>
  <c r="AP67" i="4" s="1"/>
  <c r="C60" i="4"/>
  <c r="D60" i="4" s="1"/>
  <c r="B54" i="4"/>
  <c r="B53" i="4"/>
  <c r="C52" i="4"/>
  <c r="D52" i="4" s="1"/>
  <c r="E52" i="4" s="1"/>
  <c r="F52" i="4" s="1"/>
  <c r="G52" i="4" s="1"/>
  <c r="H52" i="4" s="1"/>
  <c r="I52" i="4" s="1"/>
  <c r="J52" i="4" s="1"/>
  <c r="K52" i="4" s="1"/>
  <c r="L52" i="4" s="1"/>
  <c r="M52" i="4" s="1"/>
  <c r="N52" i="4" s="1"/>
  <c r="O52" i="4" s="1"/>
  <c r="P52" i="4" s="1"/>
  <c r="Q52" i="4" s="1"/>
  <c r="R52" i="4" s="1"/>
  <c r="S52" i="4" s="1"/>
  <c r="T52" i="4" s="1"/>
  <c r="U52" i="4" s="1"/>
  <c r="V52" i="4" s="1"/>
  <c r="W52" i="4" s="1"/>
  <c r="X52" i="4" s="1"/>
  <c r="Y52" i="4" s="1"/>
  <c r="Z52" i="4" s="1"/>
  <c r="AA52" i="4" s="1"/>
  <c r="AB52" i="4" s="1"/>
  <c r="AC52" i="4" s="1"/>
  <c r="AD52" i="4" s="1"/>
  <c r="AE52" i="4" s="1"/>
  <c r="AF52" i="4" s="1"/>
  <c r="AG52" i="4" s="1"/>
  <c r="AH52" i="4" s="1"/>
  <c r="AI52" i="4" s="1"/>
  <c r="AJ52" i="4" s="1"/>
  <c r="AK52" i="4" s="1"/>
  <c r="AL52" i="4" s="1"/>
  <c r="AM52" i="4" s="1"/>
  <c r="AN52" i="4" s="1"/>
  <c r="AO52" i="4" s="1"/>
  <c r="AP52" i="4" s="1"/>
  <c r="C45" i="4"/>
  <c r="D45" i="4" s="1"/>
  <c r="E45" i="4" s="1"/>
  <c r="F45" i="4" s="1"/>
  <c r="G45" i="4" s="1"/>
  <c r="H45" i="4" s="1"/>
  <c r="I45" i="4" s="1"/>
  <c r="J45" i="4" s="1"/>
  <c r="K45" i="4" s="1"/>
  <c r="L45" i="4" s="1"/>
  <c r="M45" i="4" s="1"/>
  <c r="N45" i="4" s="1"/>
  <c r="O45" i="4" s="1"/>
  <c r="P45" i="4" s="1"/>
  <c r="Q45" i="4" s="1"/>
  <c r="R45" i="4" s="1"/>
  <c r="S45" i="4" s="1"/>
  <c r="T45" i="4" s="1"/>
  <c r="U45" i="4" s="1"/>
  <c r="V45" i="4" s="1"/>
  <c r="W45" i="4" s="1"/>
  <c r="X45" i="4" s="1"/>
  <c r="Y45" i="4" s="1"/>
  <c r="Z45" i="4" s="1"/>
  <c r="AA45" i="4" s="1"/>
  <c r="AB45" i="4" s="1"/>
  <c r="AC45" i="4" s="1"/>
  <c r="AD45" i="4" s="1"/>
  <c r="AE45" i="4" s="1"/>
  <c r="AF45" i="4" s="1"/>
  <c r="AG45" i="4" s="1"/>
  <c r="AH45" i="4" s="1"/>
  <c r="AI45" i="4" s="1"/>
  <c r="AJ45" i="4" s="1"/>
  <c r="AK45" i="4" s="1"/>
  <c r="AL45" i="4" s="1"/>
  <c r="AM45" i="4" s="1"/>
  <c r="AN45" i="4" s="1"/>
  <c r="AO45" i="4" s="1"/>
  <c r="AP45" i="4" s="1"/>
  <c r="B34" i="4"/>
  <c r="B25" i="4"/>
  <c r="C17" i="4"/>
  <c r="D17" i="4" s="1"/>
  <c r="E17" i="4" s="1"/>
  <c r="F17" i="4" s="1"/>
  <c r="G17" i="4" s="1"/>
  <c r="H17" i="4" s="1"/>
  <c r="I17" i="4" s="1"/>
  <c r="J17" i="4" s="1"/>
  <c r="K17" i="4" s="1"/>
  <c r="L17" i="4" s="1"/>
  <c r="M17" i="4" s="1"/>
  <c r="N17" i="4" s="1"/>
  <c r="O17" i="4" s="1"/>
  <c r="P17" i="4" s="1"/>
  <c r="Q17" i="4" s="1"/>
  <c r="R17" i="4" s="1"/>
  <c r="S17" i="4" s="1"/>
  <c r="T17" i="4" s="1"/>
  <c r="U17" i="4" s="1"/>
  <c r="V17" i="4" s="1"/>
  <c r="W17" i="4" s="1"/>
  <c r="X17" i="4" s="1"/>
  <c r="Y17" i="4" s="1"/>
  <c r="Z17" i="4" s="1"/>
  <c r="AA17" i="4" s="1"/>
  <c r="AB17" i="4" s="1"/>
  <c r="AC17" i="4" s="1"/>
  <c r="AD17" i="4" s="1"/>
  <c r="AE17" i="4" s="1"/>
  <c r="AF17" i="4" s="1"/>
  <c r="AG17" i="4" s="1"/>
  <c r="AH17" i="4" s="1"/>
  <c r="AI17" i="4" s="1"/>
  <c r="AJ17" i="4" s="1"/>
  <c r="AK17" i="4" s="1"/>
  <c r="AL17" i="4" s="1"/>
  <c r="AM17" i="4" s="1"/>
  <c r="AN17" i="4" s="1"/>
  <c r="C16" i="4"/>
  <c r="D16" i="4" s="1"/>
  <c r="C12" i="4"/>
  <c r="A11" i="4"/>
  <c r="H9" i="4"/>
  <c r="D9" i="4"/>
  <c r="A9" i="4"/>
  <c r="C73" i="4" s="1"/>
  <c r="H8" i="4"/>
  <c r="H7" i="4"/>
  <c r="C37" i="4" s="1"/>
  <c r="D37" i="4" s="1"/>
  <c r="C20" i="4"/>
  <c r="A7" i="4"/>
  <c r="B32" i="4" s="1"/>
  <c r="C24" i="4" l="1"/>
  <c r="C22" i="4"/>
  <c r="B73" i="6"/>
  <c r="B137" i="6" s="1"/>
  <c r="B73" i="8"/>
  <c r="B72" i="8"/>
  <c r="AJ40" i="8"/>
  <c r="J80" i="8"/>
  <c r="D20" i="4"/>
  <c r="D24" i="4" s="1"/>
  <c r="E16" i="4"/>
  <c r="AM37" i="6"/>
  <c r="AM34" i="6"/>
  <c r="AL35" i="6"/>
  <c r="AL36" i="6"/>
  <c r="AM45" i="6"/>
  <c r="AL37" i="6"/>
  <c r="AF46" i="6"/>
  <c r="AL33" i="6"/>
  <c r="AL38" i="6"/>
  <c r="AM42" i="6"/>
  <c r="AG46" i="6"/>
  <c r="AM33" i="6"/>
  <c r="AL34" i="6"/>
  <c r="AM38" i="6"/>
  <c r="AL39" i="6"/>
  <c r="AL40" i="6"/>
  <c r="U32" i="8"/>
  <c r="AM32" i="8" s="1"/>
  <c r="V32" i="8"/>
  <c r="AN32" i="8" s="1"/>
  <c r="AK33" i="8"/>
  <c r="T32" i="6"/>
  <c r="AH32" i="6" s="1"/>
  <c r="E26" i="1"/>
  <c r="F26" i="1" s="1"/>
  <c r="G26" i="1" s="1"/>
  <c r="H26" i="1" s="1"/>
  <c r="I26" i="1" s="1"/>
  <c r="J26" i="1" s="1"/>
  <c r="K26" i="1" s="1"/>
  <c r="L26" i="1" s="1"/>
  <c r="M26" i="1" s="1"/>
  <c r="N26" i="1" s="1"/>
  <c r="O26" i="1" s="1"/>
  <c r="P26" i="1" s="1"/>
  <c r="Q26" i="1" s="1"/>
  <c r="R26" i="1" s="1"/>
  <c r="S26" i="1" s="1"/>
  <c r="T26" i="1" s="1"/>
  <c r="U26" i="1" s="1"/>
  <c r="V26" i="1" s="1"/>
  <c r="W26" i="1" s="1"/>
  <c r="X26" i="1" s="1"/>
  <c r="Y26" i="1" s="1"/>
  <c r="Z26" i="1" s="1"/>
  <c r="AA26" i="1" s="1"/>
  <c r="AB26" i="1" s="1"/>
  <c r="AC26" i="1" s="1"/>
  <c r="AD26" i="1" s="1"/>
  <c r="AE26" i="1" s="1"/>
  <c r="AF26" i="1" s="1"/>
  <c r="AG26" i="1" s="1"/>
  <c r="AH26" i="1" s="1"/>
  <c r="AI26" i="1" s="1"/>
  <c r="AJ26" i="1" s="1"/>
  <c r="AK26" i="1" s="1"/>
  <c r="AL26" i="1" s="1"/>
  <c r="AM26" i="1" s="1"/>
  <c r="AN26" i="1" s="1"/>
  <c r="AO26" i="1" s="1"/>
  <c r="AP26" i="1" s="1"/>
  <c r="AG15" i="5"/>
  <c r="AU15" i="5" s="1"/>
  <c r="V32" i="6"/>
  <c r="V46" i="6" s="1"/>
  <c r="AM36" i="6"/>
  <c r="AM40" i="6"/>
  <c r="AM44" i="6"/>
  <c r="W32" i="6"/>
  <c r="AK32" i="6" s="1"/>
  <c r="AM35" i="6"/>
  <c r="AM39" i="6"/>
  <c r="AM43" i="6"/>
  <c r="J80" i="6"/>
  <c r="F56" i="6" s="1"/>
  <c r="F60" i="6" s="1"/>
  <c r="U32" i="6"/>
  <c r="U46" i="6" s="1"/>
  <c r="AL34" i="8"/>
  <c r="AH38" i="8"/>
  <c r="AH42" i="8"/>
  <c r="AH43" i="8"/>
  <c r="AH44" i="8"/>
  <c r="AH45" i="8"/>
  <c r="AE24" i="9"/>
  <c r="AG24" i="9" s="1"/>
  <c r="AE25" i="9"/>
  <c r="AG25" i="9" s="1"/>
  <c r="AE28" i="9"/>
  <c r="AG28" i="9" s="1"/>
  <c r="AE29" i="9"/>
  <c r="AG29" i="9" s="1"/>
  <c r="AF35" i="9"/>
  <c r="AE40" i="9"/>
  <c r="AG40" i="9" s="1"/>
  <c r="AI37" i="8"/>
  <c r="AI41" i="8"/>
  <c r="AS42" i="9"/>
  <c r="AF19" i="9"/>
  <c r="AF21" i="9"/>
  <c r="AH21" i="9" s="1"/>
  <c r="AI21" i="9" s="1"/>
  <c r="AJ21" i="9" s="1"/>
  <c r="AU21" i="9" s="1"/>
  <c r="AV21" i="9" s="1"/>
  <c r="AF22" i="9"/>
  <c r="AX26" i="9"/>
  <c r="AF27" i="9"/>
  <c r="AF34" i="9"/>
  <c r="AE14" i="9"/>
  <c r="AG14" i="9" s="1"/>
  <c r="AE15" i="9"/>
  <c r="AG15" i="9" s="1"/>
  <c r="AX15" i="9"/>
  <c r="AE16" i="9"/>
  <c r="AG16" i="9" s="1"/>
  <c r="AE18" i="9"/>
  <c r="AG18" i="9" s="1"/>
  <c r="AF26" i="9"/>
  <c r="AE30" i="9"/>
  <c r="AG30" i="9" s="1"/>
  <c r="AE31" i="9"/>
  <c r="AG31" i="9" s="1"/>
  <c r="AF33" i="9"/>
  <c r="AF37" i="9"/>
  <c r="AX37" i="9"/>
  <c r="AF38" i="9"/>
  <c r="AH38" i="9" s="1"/>
  <c r="AI38" i="9" s="1"/>
  <c r="AJ38" i="9" s="1"/>
  <c r="AU38" i="9" s="1"/>
  <c r="AV38" i="9" s="1"/>
  <c r="AX38" i="9"/>
  <c r="AE39" i="9"/>
  <c r="AG39" i="9" s="1"/>
  <c r="AX39" i="9"/>
  <c r="AF40" i="9"/>
  <c r="AH40" i="9" s="1"/>
  <c r="AI40" i="9" s="1"/>
  <c r="AJ40" i="9" s="1"/>
  <c r="AU40" i="9" s="1"/>
  <c r="AV40" i="9" s="1"/>
  <c r="AX40" i="9"/>
  <c r="AF41" i="9"/>
  <c r="AX41" i="9"/>
  <c r="AX12" i="9"/>
  <c r="AQ42" i="9"/>
  <c r="AH42" i="6"/>
  <c r="AH44" i="6"/>
  <c r="AX17" i="9"/>
  <c r="C70" i="8"/>
  <c r="B26" i="4"/>
  <c r="B151" i="8" s="1"/>
  <c r="AH36" i="6"/>
  <c r="AG18" i="5"/>
  <c r="AU18" i="5" s="1"/>
  <c r="AG27" i="5"/>
  <c r="AU27" i="5" s="1"/>
  <c r="AM28" i="5"/>
  <c r="E21" i="12"/>
  <c r="G105" i="12"/>
  <c r="AG23" i="5"/>
  <c r="AU23" i="5" s="1"/>
  <c r="AG26" i="5"/>
  <c r="AU26" i="5" s="1"/>
  <c r="H105" i="12"/>
  <c r="AM24" i="5"/>
  <c r="AM6" i="5"/>
  <c r="AG7" i="5"/>
  <c r="AU7" i="5" s="1"/>
  <c r="AM13" i="5"/>
  <c r="AG14" i="5"/>
  <c r="AU14" i="5" s="1"/>
  <c r="AM18" i="5"/>
  <c r="AG19" i="5"/>
  <c r="AU19" i="5" s="1"/>
  <c r="AM20" i="5"/>
  <c r="AG21" i="5"/>
  <c r="AU21" i="5" s="1"/>
  <c r="AM22" i="5"/>
  <c r="AM27" i="5"/>
  <c r="AG35" i="5"/>
  <c r="AU35" i="5" s="1"/>
  <c r="AS39" i="8"/>
  <c r="AS41" i="8" s="1"/>
  <c r="B128" i="8" s="1"/>
  <c r="AH16" i="9"/>
  <c r="AH17" i="9"/>
  <c r="AH25" i="9"/>
  <c r="AI25" i="9" s="1"/>
  <c r="AJ25" i="9" s="1"/>
  <c r="AU25" i="9" s="1"/>
  <c r="AV25" i="9" s="1"/>
  <c r="AH28" i="9"/>
  <c r="AH30" i="9"/>
  <c r="AI30" i="9" s="1"/>
  <c r="AJ30" i="9" s="1"/>
  <c r="AU30" i="9" s="1"/>
  <c r="AV30" i="9" s="1"/>
  <c r="AH31" i="9"/>
  <c r="AI31" i="9" s="1"/>
  <c r="AJ31" i="9" s="1"/>
  <c r="AU31" i="9" s="1"/>
  <c r="AV31" i="9" s="1"/>
  <c r="AX36" i="9"/>
  <c r="E120" i="6"/>
  <c r="F120" i="6" s="1"/>
  <c r="F121" i="6" s="1"/>
  <c r="AM8" i="5"/>
  <c r="AG9" i="5"/>
  <c r="AU9" i="5" s="1"/>
  <c r="AM10" i="5"/>
  <c r="AG11" i="5"/>
  <c r="AU11" i="5" s="1"/>
  <c r="AM12" i="5"/>
  <c r="AG13" i="5"/>
  <c r="AU13" i="5" s="1"/>
  <c r="AM15" i="5"/>
  <c r="AG16" i="5"/>
  <c r="AU16" i="5" s="1"/>
  <c r="AM17" i="5"/>
  <c r="AM26" i="5"/>
  <c r="AM29" i="5"/>
  <c r="AM31" i="5"/>
  <c r="AM33" i="5"/>
  <c r="AG34" i="5"/>
  <c r="AU34" i="5" s="1"/>
  <c r="AH13" i="9"/>
  <c r="AI13" i="9" s="1"/>
  <c r="AJ13" i="9" s="1"/>
  <c r="AU13" i="9" s="1"/>
  <c r="AV13" i="9" s="1"/>
  <c r="AH20" i="9"/>
  <c r="AH23" i="9"/>
  <c r="AI23" i="9" s="1"/>
  <c r="AJ23" i="9" s="1"/>
  <c r="AU23" i="9" s="1"/>
  <c r="AV23" i="9" s="1"/>
  <c r="AH35" i="9"/>
  <c r="AI35" i="9" s="1"/>
  <c r="AJ35" i="9" s="1"/>
  <c r="AU35" i="9" s="1"/>
  <c r="AV35" i="9" s="1"/>
  <c r="AH34" i="6"/>
  <c r="AM7" i="5"/>
  <c r="AM14" i="5"/>
  <c r="AM19" i="5"/>
  <c r="AG20" i="5"/>
  <c r="AU20" i="5" s="1"/>
  <c r="AM21" i="5"/>
  <c r="AG22" i="5"/>
  <c r="AU22" i="5" s="1"/>
  <c r="AM25" i="5"/>
  <c r="AM35" i="5"/>
  <c r="AD33" i="8"/>
  <c r="AD39" i="8"/>
  <c r="Z42" i="8"/>
  <c r="Z44" i="8"/>
  <c r="AH12" i="9"/>
  <c r="AI12" i="9" s="1"/>
  <c r="AJ12" i="9" s="1"/>
  <c r="AH19" i="9"/>
  <c r="AI19" i="9" s="1"/>
  <c r="AJ19" i="9" s="1"/>
  <c r="AU19" i="9" s="1"/>
  <c r="AV19" i="9" s="1"/>
  <c r="AH22" i="9"/>
  <c r="AH27" i="9"/>
  <c r="AI27" i="9" s="1"/>
  <c r="AJ27" i="9" s="1"/>
  <c r="AU27" i="9" s="1"/>
  <c r="AV27" i="9" s="1"/>
  <c r="AH34" i="9"/>
  <c r="AI34" i="9" s="1"/>
  <c r="AJ34" i="9" s="1"/>
  <c r="AU34" i="9" s="1"/>
  <c r="AV34" i="9" s="1"/>
  <c r="AH39" i="9"/>
  <c r="AI39" i="9" s="1"/>
  <c r="AJ39" i="9" s="1"/>
  <c r="AU39" i="9" s="1"/>
  <c r="AV39" i="9" s="1"/>
  <c r="AG8" i="5"/>
  <c r="AU8" i="5" s="1"/>
  <c r="AM9" i="5"/>
  <c r="AM11" i="5"/>
  <c r="AG12" i="5"/>
  <c r="AU12" i="5" s="1"/>
  <c r="AM16" i="5"/>
  <c r="AG17" i="5"/>
  <c r="AU17" i="5" s="1"/>
  <c r="AM23" i="5"/>
  <c r="AG24" i="5"/>
  <c r="AU24" i="5" s="1"/>
  <c r="AG25" i="5"/>
  <c r="AU25" i="5" s="1"/>
  <c r="AG29" i="5"/>
  <c r="AU29" i="5" s="1"/>
  <c r="AM30" i="5"/>
  <c r="AG31" i="5"/>
  <c r="AU31" i="5" s="1"/>
  <c r="AM32" i="5"/>
  <c r="AG33" i="5"/>
  <c r="AU33" i="5" s="1"/>
  <c r="AM34" i="5"/>
  <c r="AH26" i="9"/>
  <c r="AI26" i="9" s="1"/>
  <c r="AJ26" i="9" s="1"/>
  <c r="AU26" i="9" s="1"/>
  <c r="AV26" i="9" s="1"/>
  <c r="AH33" i="9"/>
  <c r="AI33" i="9" s="1"/>
  <c r="AJ33" i="9" s="1"/>
  <c r="AU33" i="9" s="1"/>
  <c r="AV33" i="9" s="1"/>
  <c r="AH37" i="9"/>
  <c r="AH41" i="9"/>
  <c r="AI41" i="9" s="1"/>
  <c r="AJ41" i="9" s="1"/>
  <c r="AU41" i="9" s="1"/>
  <c r="AV41" i="9" s="1"/>
  <c r="C18" i="4"/>
  <c r="AH38" i="6"/>
  <c r="B70" i="8"/>
  <c r="AH40" i="6"/>
  <c r="C27" i="4"/>
  <c r="AB35" i="6"/>
  <c r="AB43" i="6"/>
  <c r="AB45" i="6"/>
  <c r="AB39" i="6"/>
  <c r="AB41" i="6"/>
  <c r="C70" i="6"/>
  <c r="C121" i="8"/>
  <c r="AB33" i="6"/>
  <c r="AB34" i="6"/>
  <c r="AB36" i="6"/>
  <c r="AB38" i="6"/>
  <c r="AB40" i="6"/>
  <c r="AB42" i="6"/>
  <c r="AB44" i="6"/>
  <c r="AG30" i="5"/>
  <c r="AU30" i="5" s="1"/>
  <c r="AB37" i="6"/>
  <c r="AH33" i="6"/>
  <c r="AH35" i="6"/>
  <c r="AH37" i="6"/>
  <c r="AH39" i="6"/>
  <c r="AH41" i="6"/>
  <c r="AH43" i="6"/>
  <c r="AH45" i="6"/>
  <c r="E60" i="4"/>
  <c r="F60" i="4" s="1"/>
  <c r="G60" i="4" s="1"/>
  <c r="H60" i="4" s="1"/>
  <c r="I60" i="4" s="1"/>
  <c r="J60" i="4" s="1"/>
  <c r="K60" i="4" s="1"/>
  <c r="L60" i="4" s="1"/>
  <c r="M60" i="4" s="1"/>
  <c r="N60" i="4" s="1"/>
  <c r="O60" i="4" s="1"/>
  <c r="O62" i="4" s="1"/>
  <c r="D63" i="4"/>
  <c r="AO17" i="4"/>
  <c r="AP17" i="4" s="1"/>
  <c r="AQ17" i="4" s="1"/>
  <c r="AR17" i="4" s="1"/>
  <c r="AS17" i="4" s="1"/>
  <c r="AT17" i="4" s="1"/>
  <c r="AU17" i="4" s="1"/>
  <c r="AV17" i="4" s="1"/>
  <c r="AW17" i="4" s="1"/>
  <c r="AX17" i="4" s="1"/>
  <c r="AY17" i="4" s="1"/>
  <c r="AZ17" i="4" s="1"/>
  <c r="BA17" i="4" s="1"/>
  <c r="BB17" i="4" s="1"/>
  <c r="BC17" i="4" s="1"/>
  <c r="BD17" i="4" s="1"/>
  <c r="BE17" i="4" s="1"/>
  <c r="BF17" i="4" s="1"/>
  <c r="BG17" i="4" s="1"/>
  <c r="BH17" i="4" s="1"/>
  <c r="BI17" i="4" s="1"/>
  <c r="BJ17" i="4" s="1"/>
  <c r="BK17" i="4" s="1"/>
  <c r="BL17" i="4" s="1"/>
  <c r="BM17" i="4" s="1"/>
  <c r="BN17" i="4" s="1"/>
  <c r="BO17" i="4" s="1"/>
  <c r="BP17" i="4" s="1"/>
  <c r="BQ17" i="4" s="1"/>
  <c r="BR17" i="4" s="1"/>
  <c r="BS17" i="4" s="1"/>
  <c r="BT17" i="4" s="1"/>
  <c r="BU17" i="4" s="1"/>
  <c r="BV17" i="4" s="1"/>
  <c r="BW17" i="4" s="1"/>
  <c r="BX17" i="4" s="1"/>
  <c r="BY17" i="4" s="1"/>
  <c r="BZ17" i="4" s="1"/>
  <c r="CA17" i="4" s="1"/>
  <c r="CB17" i="4" s="1"/>
  <c r="CC17" i="4" s="1"/>
  <c r="CD17" i="4" s="1"/>
  <c r="CE17" i="4" s="1"/>
  <c r="CF17" i="4" s="1"/>
  <c r="CG17" i="4" s="1"/>
  <c r="CH17" i="4" s="1"/>
  <c r="CI17" i="4" s="1"/>
  <c r="CJ17" i="4" s="1"/>
  <c r="CK17" i="4" s="1"/>
  <c r="CL17" i="4" s="1"/>
  <c r="CM17" i="4" s="1"/>
  <c r="CN17" i="4" s="1"/>
  <c r="CO17" i="4" s="1"/>
  <c r="CP17" i="4" s="1"/>
  <c r="CQ17" i="4" s="1"/>
  <c r="CR17" i="4" s="1"/>
  <c r="CS17" i="4" s="1"/>
  <c r="CT17" i="4" s="1"/>
  <c r="CU17" i="4" s="1"/>
  <c r="CV17" i="4" s="1"/>
  <c r="CW17" i="4" s="1"/>
  <c r="CX17" i="4" s="1"/>
  <c r="CY17" i="4" s="1"/>
  <c r="CZ17" i="4" s="1"/>
  <c r="DA17" i="4" s="1"/>
  <c r="DB17" i="4" s="1"/>
  <c r="DC17" i="4" s="1"/>
  <c r="DD17" i="4" s="1"/>
  <c r="AN151" i="6"/>
  <c r="AO41" i="8"/>
  <c r="AA41" i="8"/>
  <c r="AE42" i="8"/>
  <c r="AO42" i="8"/>
  <c r="AE44" i="8"/>
  <c r="AO44" i="8"/>
  <c r="AB37" i="8"/>
  <c r="AL37" i="8"/>
  <c r="AH40" i="8"/>
  <c r="AL40" i="8"/>
  <c r="AB40" i="8"/>
  <c r="AB41" i="8"/>
  <c r="AL41" i="8"/>
  <c r="AM39" i="8"/>
  <c r="AI39" i="8"/>
  <c r="AC39" i="8"/>
  <c r="AC40" i="8"/>
  <c r="AI40" i="8"/>
  <c r="AN38" i="8"/>
  <c r="AD38" i="8"/>
  <c r="W37" i="8"/>
  <c r="AO37" i="8" s="1"/>
  <c r="AH37" i="8"/>
  <c r="W38" i="8"/>
  <c r="AE38" i="8" s="1"/>
  <c r="AJ38" i="8"/>
  <c r="AJ39" i="8"/>
  <c r="V43" i="8"/>
  <c r="AJ43" i="8" s="1"/>
  <c r="V45" i="8"/>
  <c r="AJ45" i="8" s="1"/>
  <c r="AH41" i="8"/>
  <c r="AK44" i="8"/>
  <c r="AI35" i="8"/>
  <c r="AI36" i="8"/>
  <c r="AO36" i="8"/>
  <c r="AO35" i="8"/>
  <c r="AA35" i="8"/>
  <c r="AB35" i="8"/>
  <c r="AL35" i="8"/>
  <c r="AH35" i="8"/>
  <c r="T36" i="8"/>
  <c r="AH36" i="8" s="1"/>
  <c r="AJ34" i="8"/>
  <c r="AD34" i="8"/>
  <c r="W32" i="8"/>
  <c r="AE32" i="8" s="1"/>
  <c r="U33" i="8"/>
  <c r="E40" i="4"/>
  <c r="E37" i="4"/>
  <c r="F37" i="4" s="1"/>
  <c r="G37" i="4" s="1"/>
  <c r="H37" i="4" s="1"/>
  <c r="I37" i="4" s="1"/>
  <c r="J37" i="4" s="1"/>
  <c r="AO33" i="8"/>
  <c r="AC37" i="8"/>
  <c r="AO43" i="8"/>
  <c r="AN44" i="8"/>
  <c r="AK45" i="8"/>
  <c r="C54" i="4"/>
  <c r="AM34" i="8"/>
  <c r="AJ42" i="8"/>
  <c r="AE33" i="8"/>
  <c r="AJ33" i="8"/>
  <c r="AC35" i="8"/>
  <c r="AK35" i="8"/>
  <c r="AA36" i="8"/>
  <c r="AN39" i="8"/>
  <c r="AM40" i="8"/>
  <c r="AE41" i="8"/>
  <c r="AK41" i="8"/>
  <c r="AK42" i="8"/>
  <c r="AK43" i="8"/>
  <c r="AJ44" i="8"/>
  <c r="AO45" i="8"/>
  <c r="AO12" i="9"/>
  <c r="AO42" i="9" s="1"/>
  <c r="AN33" i="8"/>
  <c r="AI34" i="8"/>
  <c r="AC36" i="8"/>
  <c r="AK36" i="8"/>
  <c r="AD44" i="8"/>
  <c r="C53" i="4"/>
  <c r="E24" i="1"/>
  <c r="D53" i="4"/>
  <c r="D54" i="4"/>
  <c r="AD42" i="8"/>
  <c r="AE39" i="8"/>
  <c r="AN42" i="8"/>
  <c r="AI20" i="9"/>
  <c r="AJ20" i="9" s="1"/>
  <c r="AU20" i="9" s="1"/>
  <c r="AV20" i="9" s="1"/>
  <c r="AF14" i="9"/>
  <c r="AH14" i="9" s="1"/>
  <c r="AF15" i="9"/>
  <c r="AH15" i="9" s="1"/>
  <c r="AI15" i="9" s="1"/>
  <c r="AJ15" i="9" s="1"/>
  <c r="AU15" i="9" s="1"/>
  <c r="AV15" i="9" s="1"/>
  <c r="AF29" i="9"/>
  <c r="AH29" i="9" s="1"/>
  <c r="AP20" i="9"/>
  <c r="AX20" i="9"/>
  <c r="AE22" i="9"/>
  <c r="AG22" i="9" s="1"/>
  <c r="AX22" i="9"/>
  <c r="AX29" i="9"/>
  <c r="AP40" i="9"/>
  <c r="AF18" i="9"/>
  <c r="AH18" i="9" s="1"/>
  <c r="AF36" i="9"/>
  <c r="AH36" i="9" s="1"/>
  <c r="AI36" i="9" s="1"/>
  <c r="AJ36" i="9" s="1"/>
  <c r="AU36" i="9" s="1"/>
  <c r="AV36" i="9" s="1"/>
  <c r="AN42" i="9"/>
  <c r="B64" i="9" s="1"/>
  <c r="AE17" i="9"/>
  <c r="AG17" i="9" s="1"/>
  <c r="AX21" i="9"/>
  <c r="AF24" i="9"/>
  <c r="AH24" i="9" s="1"/>
  <c r="AI24" i="9" s="1"/>
  <c r="AJ24" i="9" s="1"/>
  <c r="AU24" i="9" s="1"/>
  <c r="AV24" i="9" s="1"/>
  <c r="AF32" i="9"/>
  <c r="AH32" i="9" s="1"/>
  <c r="AI32" i="9" s="1"/>
  <c r="AJ32" i="9" s="1"/>
  <c r="AU32" i="9" s="1"/>
  <c r="AV32" i="9" s="1"/>
  <c r="AX13" i="9"/>
  <c r="AX14" i="9"/>
  <c r="AX16" i="9"/>
  <c r="AX18" i="9"/>
  <c r="AP24" i="9"/>
  <c r="AX24" i="9"/>
  <c r="AX25" i="9"/>
  <c r="AP32" i="9"/>
  <c r="AX32" i="9"/>
  <c r="AX33" i="9"/>
  <c r="AT13" i="5"/>
  <c r="F62" i="4"/>
  <c r="B106" i="9"/>
  <c r="B162" i="8"/>
  <c r="B163" i="8" s="1"/>
  <c r="B94" i="5"/>
  <c r="AL155" i="6"/>
  <c r="AH155" i="6"/>
  <c r="AD155" i="6"/>
  <c r="Z155" i="6"/>
  <c r="V155" i="6"/>
  <c r="R155" i="6"/>
  <c r="N155" i="6"/>
  <c r="J155" i="6"/>
  <c r="F155" i="6"/>
  <c r="B155" i="6"/>
  <c r="AK151" i="6"/>
  <c r="AG151" i="6"/>
  <c r="AC151" i="6"/>
  <c r="Y151" i="6"/>
  <c r="U151" i="6"/>
  <c r="Q151" i="6"/>
  <c r="M151" i="6"/>
  <c r="I151" i="6"/>
  <c r="E151" i="6"/>
  <c r="AN155" i="6"/>
  <c r="AJ155" i="6"/>
  <c r="AF155" i="6"/>
  <c r="AB155" i="6"/>
  <c r="X155" i="6"/>
  <c r="T155" i="6"/>
  <c r="P155" i="6"/>
  <c r="L155" i="6"/>
  <c r="H155" i="6"/>
  <c r="D155" i="6"/>
  <c r="AM151" i="6"/>
  <c r="AI151" i="6"/>
  <c r="AE151" i="6"/>
  <c r="AA151" i="6"/>
  <c r="W151" i="6"/>
  <c r="S151" i="6"/>
  <c r="O151" i="6"/>
  <c r="K151" i="6"/>
  <c r="G151" i="6"/>
  <c r="C151" i="6"/>
  <c r="B162" i="6"/>
  <c r="AM155" i="6"/>
  <c r="AI155" i="6"/>
  <c r="AE155" i="6"/>
  <c r="AA155" i="6"/>
  <c r="W155" i="6"/>
  <c r="S155" i="6"/>
  <c r="O155" i="6"/>
  <c r="K155" i="6"/>
  <c r="G155" i="6"/>
  <c r="C155" i="6"/>
  <c r="AL151" i="6"/>
  <c r="AH151" i="6"/>
  <c r="AD151" i="6"/>
  <c r="Z151" i="6"/>
  <c r="V151" i="6"/>
  <c r="R151" i="6"/>
  <c r="N151" i="6"/>
  <c r="J151" i="6"/>
  <c r="F151" i="6"/>
  <c r="B151" i="6"/>
  <c r="AG155" i="6"/>
  <c r="Q155" i="6"/>
  <c r="AJ151" i="6"/>
  <c r="T151" i="6"/>
  <c r="D151" i="6"/>
  <c r="B128" i="6"/>
  <c r="AC155" i="6"/>
  <c r="M155" i="6"/>
  <c r="AF151" i="6"/>
  <c r="P151" i="6"/>
  <c r="B63" i="4"/>
  <c r="C62" i="4"/>
  <c r="D61" i="4"/>
  <c r="Y155" i="6"/>
  <c r="I155" i="6"/>
  <c r="AB151" i="6"/>
  <c r="L151" i="6"/>
  <c r="M63" i="4"/>
  <c r="E155" i="6"/>
  <c r="X151" i="6"/>
  <c r="C63" i="4"/>
  <c r="E62" i="4"/>
  <c r="C61" i="4"/>
  <c r="B35" i="4"/>
  <c r="B150" i="6" s="1"/>
  <c r="H151" i="6"/>
  <c r="H63" i="4"/>
  <c r="D62" i="4"/>
  <c r="M61" i="4"/>
  <c r="B61" i="4"/>
  <c r="B46" i="4"/>
  <c r="B47" i="4" s="1"/>
  <c r="B41" i="4"/>
  <c r="B38" i="4"/>
  <c r="B28" i="4"/>
  <c r="AK155" i="6"/>
  <c r="H62" i="4"/>
  <c r="B62" i="4"/>
  <c r="U155" i="6"/>
  <c r="D27" i="4"/>
  <c r="C34" i="4"/>
  <c r="AN33" i="6"/>
  <c r="Z33" i="6"/>
  <c r="AJ33" i="6"/>
  <c r="AD33" i="6"/>
  <c r="AN35" i="6"/>
  <c r="Z35" i="6"/>
  <c r="AJ35" i="6"/>
  <c r="AD35" i="6"/>
  <c r="AN37" i="6"/>
  <c r="Z37" i="6"/>
  <c r="AJ37" i="6"/>
  <c r="AD37" i="6"/>
  <c r="AN39" i="6"/>
  <c r="Z39" i="6"/>
  <c r="AJ39" i="6"/>
  <c r="AD39" i="6"/>
  <c r="AN41" i="6"/>
  <c r="Z41" i="6"/>
  <c r="AJ41" i="6"/>
  <c r="AD41" i="6"/>
  <c r="AN43" i="6"/>
  <c r="Z43" i="6"/>
  <c r="AJ43" i="6"/>
  <c r="AD43" i="6"/>
  <c r="AN45" i="6"/>
  <c r="Z45" i="6"/>
  <c r="AJ45" i="6"/>
  <c r="AD45" i="6"/>
  <c r="AT8" i="5"/>
  <c r="D73" i="4"/>
  <c r="C74" i="4"/>
  <c r="C40" i="4"/>
  <c r="AT12" i="5"/>
  <c r="B27" i="4"/>
  <c r="D40" i="4"/>
  <c r="AN34" i="6"/>
  <c r="Z34" i="6"/>
  <c r="AJ34" i="6"/>
  <c r="AD34" i="6"/>
  <c r="AN36" i="6"/>
  <c r="Z36" i="6"/>
  <c r="AJ36" i="6"/>
  <c r="AD36" i="6"/>
  <c r="AN38" i="6"/>
  <c r="Z38" i="6"/>
  <c r="AJ38" i="6"/>
  <c r="AD38" i="6"/>
  <c r="AN40" i="6"/>
  <c r="Z40" i="6"/>
  <c r="AJ40" i="6"/>
  <c r="AD40" i="6"/>
  <c r="AN42" i="6"/>
  <c r="Z42" i="6"/>
  <c r="AJ42" i="6"/>
  <c r="AD42" i="6"/>
  <c r="AN44" i="6"/>
  <c r="Z44" i="6"/>
  <c r="AJ44" i="6"/>
  <c r="AD44" i="6"/>
  <c r="AT7" i="5"/>
  <c r="AT11" i="5"/>
  <c r="B70" i="6"/>
  <c r="AT15" i="5"/>
  <c r="AH15" i="5"/>
  <c r="AI15" i="5" s="1"/>
  <c r="X33" i="6"/>
  <c r="X34" i="6"/>
  <c r="X35" i="6"/>
  <c r="X36" i="6"/>
  <c r="X37" i="6"/>
  <c r="X38" i="6"/>
  <c r="X39" i="6"/>
  <c r="X40" i="6"/>
  <c r="X41" i="6"/>
  <c r="X42" i="6"/>
  <c r="X43" i="6"/>
  <c r="X44" i="6"/>
  <c r="X45" i="6"/>
  <c r="C121" i="6"/>
  <c r="AT10" i="5"/>
  <c r="AT21" i="5"/>
  <c r="AT23" i="5"/>
  <c r="E121" i="6"/>
  <c r="AG6" i="5"/>
  <c r="AU6" i="5" s="1"/>
  <c r="AT9" i="5"/>
  <c r="AG10" i="5"/>
  <c r="AU10" i="5" s="1"/>
  <c r="AG28" i="5"/>
  <c r="AU28" i="5" s="1"/>
  <c r="Y33" i="6"/>
  <c r="AC33" i="6"/>
  <c r="AK33" i="6"/>
  <c r="AO33" i="6"/>
  <c r="Y34" i="6"/>
  <c r="AC34" i="6"/>
  <c r="AK34" i="6"/>
  <c r="AO34" i="6"/>
  <c r="Y35" i="6"/>
  <c r="AC35" i="6"/>
  <c r="AK35" i="6"/>
  <c r="AO35" i="6"/>
  <c r="Y36" i="6"/>
  <c r="AC36" i="6"/>
  <c r="AK36" i="6"/>
  <c r="AO36" i="6"/>
  <c r="Y37" i="6"/>
  <c r="AC37" i="6"/>
  <c r="AK37" i="6"/>
  <c r="AO37" i="6"/>
  <c r="Y38" i="6"/>
  <c r="AC38" i="6"/>
  <c r="AK38" i="6"/>
  <c r="AO38" i="6"/>
  <c r="Y39" i="6"/>
  <c r="AC39" i="6"/>
  <c r="AK39" i="6"/>
  <c r="AO39" i="6"/>
  <c r="Y40" i="6"/>
  <c r="AC40" i="6"/>
  <c r="AK40" i="6"/>
  <c r="AO40" i="6"/>
  <c r="Y41" i="6"/>
  <c r="AC41" i="6"/>
  <c r="AK41" i="6"/>
  <c r="AO41" i="6"/>
  <c r="Y42" i="6"/>
  <c r="AC42" i="6"/>
  <c r="AK42" i="6"/>
  <c r="AO42" i="6"/>
  <c r="Y43" i="6"/>
  <c r="AC43" i="6"/>
  <c r="AK43" i="6"/>
  <c r="AO43" i="6"/>
  <c r="Y44" i="6"/>
  <c r="AC44" i="6"/>
  <c r="AK44" i="6"/>
  <c r="AO44" i="6"/>
  <c r="Y45" i="6"/>
  <c r="AC45" i="6"/>
  <c r="AK45" i="6"/>
  <c r="AO45" i="6"/>
  <c r="AT30" i="5"/>
  <c r="AT18" i="5"/>
  <c r="AT27" i="5"/>
  <c r="AT31" i="5"/>
  <c r="AG32" i="5"/>
  <c r="AU32" i="5" s="1"/>
  <c r="AA33" i="6"/>
  <c r="AI33" i="6"/>
  <c r="AA34" i="6"/>
  <c r="AI34" i="6"/>
  <c r="AA35" i="6"/>
  <c r="AI35" i="6"/>
  <c r="AA36" i="6"/>
  <c r="AI36" i="6"/>
  <c r="AA37" i="6"/>
  <c r="AI37" i="6"/>
  <c r="AA38" i="6"/>
  <c r="AI38" i="6"/>
  <c r="AA39" i="6"/>
  <c r="AI39" i="6"/>
  <c r="AA40" i="6"/>
  <c r="AI40" i="6"/>
  <c r="AA41" i="6"/>
  <c r="AI41" i="6"/>
  <c r="AA42" i="6"/>
  <c r="AI42" i="6"/>
  <c r="AA43" i="6"/>
  <c r="AI43" i="6"/>
  <c r="AA44" i="6"/>
  <c r="AI44" i="6"/>
  <c r="AA45" i="6"/>
  <c r="AI45" i="6"/>
  <c r="AN37" i="8"/>
  <c r="AJ37" i="8"/>
  <c r="Z37" i="8"/>
  <c r="AD37" i="8"/>
  <c r="AM45" i="8"/>
  <c r="AI45" i="8"/>
  <c r="AC45" i="8"/>
  <c r="Y45" i="8"/>
  <c r="D68" i="5"/>
  <c r="C69" i="5"/>
  <c r="C94" i="5" s="1"/>
  <c r="AM43" i="8"/>
  <c r="AI43" i="8"/>
  <c r="AC43" i="8"/>
  <c r="Y43" i="8"/>
  <c r="AT32" i="5"/>
  <c r="AO40" i="8"/>
  <c r="AK40" i="8"/>
  <c r="AA40" i="8"/>
  <c r="AE40" i="8"/>
  <c r="AN41" i="8"/>
  <c r="AJ41" i="8"/>
  <c r="Z41" i="8"/>
  <c r="AD41" i="8"/>
  <c r="AL33" i="8"/>
  <c r="AH33" i="8"/>
  <c r="AB33" i="8"/>
  <c r="X33" i="8"/>
  <c r="AO34" i="8"/>
  <c r="AK34" i="8"/>
  <c r="AA34" i="8"/>
  <c r="AE34" i="8"/>
  <c r="AM38" i="8"/>
  <c r="AI38" i="8"/>
  <c r="AC38" i="8"/>
  <c r="E120" i="8"/>
  <c r="D121" i="8"/>
  <c r="AH34" i="8"/>
  <c r="X34" i="8"/>
  <c r="AB34" i="8"/>
  <c r="AN35" i="8"/>
  <c r="AJ35" i="8"/>
  <c r="Z35" i="8"/>
  <c r="AD35" i="8"/>
  <c r="AL39" i="8"/>
  <c r="AH39" i="8"/>
  <c r="AB39" i="8"/>
  <c r="X39" i="8"/>
  <c r="AM42" i="8"/>
  <c r="AI42" i="8"/>
  <c r="AC42" i="8"/>
  <c r="AM44" i="8"/>
  <c r="AI44" i="8"/>
  <c r="AC44" i="8"/>
  <c r="AI32" i="8"/>
  <c r="AC32" i="8"/>
  <c r="AN36" i="8"/>
  <c r="AJ36" i="8"/>
  <c r="Z36" i="8"/>
  <c r="AD36" i="8"/>
  <c r="Z38" i="8"/>
  <c r="Y39" i="8"/>
  <c r="AO39" i="8"/>
  <c r="X40" i="8"/>
  <c r="AD40" i="8"/>
  <c r="AC41" i="8"/>
  <c r="AW42" i="9"/>
  <c r="B52" i="9" s="1"/>
  <c r="AL32" i="8"/>
  <c r="AA33" i="8"/>
  <c r="Z34" i="8"/>
  <c r="AN34" i="8"/>
  <c r="Y35" i="8"/>
  <c r="AM35" i="8"/>
  <c r="Y36" i="8"/>
  <c r="AM36" i="8"/>
  <c r="Y37" i="8"/>
  <c r="AM37" i="8"/>
  <c r="AB38" i="8"/>
  <c r="AL38" i="8"/>
  <c r="AA39" i="8"/>
  <c r="Z40" i="8"/>
  <c r="AN40" i="8"/>
  <c r="Y41" i="8"/>
  <c r="AM41" i="8"/>
  <c r="AB42" i="8"/>
  <c r="AL42" i="8"/>
  <c r="AB43" i="8"/>
  <c r="AL43" i="8"/>
  <c r="AB44" i="8"/>
  <c r="AL44" i="8"/>
  <c r="AB45" i="8"/>
  <c r="AL45" i="8"/>
  <c r="X32" i="8"/>
  <c r="AH32" i="8"/>
  <c r="AE35" i="8"/>
  <c r="AE36" i="8"/>
  <c r="X38" i="8"/>
  <c r="X42" i="8"/>
  <c r="X43" i="8"/>
  <c r="X44" i="8"/>
  <c r="X45" i="8"/>
  <c r="Z33" i="8"/>
  <c r="Y34" i="8"/>
  <c r="X35" i="8"/>
  <c r="X37" i="8"/>
  <c r="Z39" i="8"/>
  <c r="Y40" i="8"/>
  <c r="X41" i="8"/>
  <c r="AA42" i="8"/>
  <c r="AA43" i="8"/>
  <c r="AA44" i="8"/>
  <c r="AA45" i="8"/>
  <c r="AK42" i="9"/>
  <c r="B60" i="9" s="1"/>
  <c r="AT42" i="9"/>
  <c r="AP13" i="9"/>
  <c r="AP15" i="9"/>
  <c r="AP28" i="9"/>
  <c r="AP36" i="9"/>
  <c r="AI37" i="9"/>
  <c r="AJ37" i="9" s="1"/>
  <c r="AU37" i="9" s="1"/>
  <c r="AV37" i="9" s="1"/>
  <c r="AM42" i="9"/>
  <c r="B62" i="9" s="1"/>
  <c r="AP16" i="9"/>
  <c r="AP18" i="9"/>
  <c r="AP22" i="9"/>
  <c r="AP26" i="9"/>
  <c r="AP30" i="9"/>
  <c r="AP34" i="9"/>
  <c r="AP38" i="9"/>
  <c r="E81" i="9"/>
  <c r="D82" i="9"/>
  <c r="D106" i="9" s="1"/>
  <c r="C82" i="9"/>
  <c r="C106" i="9" s="1"/>
  <c r="AP19" i="9"/>
  <c r="AP23" i="9"/>
  <c r="AP27" i="9"/>
  <c r="AP31" i="9"/>
  <c r="AP35" i="9"/>
  <c r="AP39" i="9"/>
  <c r="AP17" i="9"/>
  <c r="AP21" i="9"/>
  <c r="AP25" i="9"/>
  <c r="AP29" i="9"/>
  <c r="AP33" i="9"/>
  <c r="AP37" i="9"/>
  <c r="AP41" i="9"/>
  <c r="AL42" i="9"/>
  <c r="B61" i="9" s="1"/>
  <c r="AP14" i="9"/>
  <c r="B65" i="9" l="1"/>
  <c r="C137" i="8"/>
  <c r="B137" i="8"/>
  <c r="D137" i="8"/>
  <c r="B69" i="4"/>
  <c r="E27" i="4"/>
  <c r="F40" i="4"/>
  <c r="E20" i="4"/>
  <c r="E24" i="4" s="1"/>
  <c r="E137" i="8" s="1"/>
  <c r="I40" i="4"/>
  <c r="H40" i="4"/>
  <c r="J40" i="4"/>
  <c r="G40" i="4"/>
  <c r="B149" i="6"/>
  <c r="B155" i="8"/>
  <c r="F16" i="4"/>
  <c r="AL32" i="6"/>
  <c r="AB32" i="6"/>
  <c r="AP151" i="6"/>
  <c r="AP155" i="6"/>
  <c r="AO155" i="6"/>
  <c r="AO151" i="6"/>
  <c r="AL46" i="6"/>
  <c r="Z32" i="8"/>
  <c r="AJ32" i="8"/>
  <c r="U46" i="8"/>
  <c r="Y32" i="8"/>
  <c r="AD32" i="8"/>
  <c r="X32" i="6"/>
  <c r="X46" i="6" s="1"/>
  <c r="T46" i="6"/>
  <c r="W46" i="6"/>
  <c r="AJ32" i="6"/>
  <c r="AJ46" i="6" s="1"/>
  <c r="AD32" i="6"/>
  <c r="AD46" i="6" s="1"/>
  <c r="AE32" i="6"/>
  <c r="AE46" i="6" s="1"/>
  <c r="AO32" i="6"/>
  <c r="AO46" i="6" s="1"/>
  <c r="AA32" i="6"/>
  <c r="AA46" i="6" s="1"/>
  <c r="AN32" i="6"/>
  <c r="AN46" i="6" s="1"/>
  <c r="Z32" i="6"/>
  <c r="Z46" i="6" s="1"/>
  <c r="AI32" i="6"/>
  <c r="AI46" i="6" s="1"/>
  <c r="AM32" i="6"/>
  <c r="AM46" i="6" s="1"/>
  <c r="AC32" i="6"/>
  <c r="AC46" i="6" s="1"/>
  <c r="Y32" i="6"/>
  <c r="Y46" i="6" s="1"/>
  <c r="A85" i="6"/>
  <c r="B98" i="6" s="1"/>
  <c r="C68" i="4"/>
  <c r="L62" i="4"/>
  <c r="M62" i="4"/>
  <c r="G62" i="4"/>
  <c r="E61" i="4"/>
  <c r="J61" i="4"/>
  <c r="K61" i="4"/>
  <c r="G63" i="4"/>
  <c r="I62" i="4"/>
  <c r="I61" i="4"/>
  <c r="E63" i="4"/>
  <c r="H61" i="4"/>
  <c r="K62" i="4"/>
  <c r="J63" i="4"/>
  <c r="F61" i="4"/>
  <c r="J62" i="4"/>
  <c r="F63" i="4"/>
  <c r="O63" i="4"/>
  <c r="G61" i="4"/>
  <c r="N62" i="4"/>
  <c r="N61" i="4"/>
  <c r="K63" i="4"/>
  <c r="I63" i="4"/>
  <c r="L61" i="4"/>
  <c r="N63" i="4"/>
  <c r="L63" i="4"/>
  <c r="C19" i="4"/>
  <c r="AH14" i="5"/>
  <c r="AI14" i="5" s="1"/>
  <c r="AH27" i="5"/>
  <c r="AI27" i="5" s="1"/>
  <c r="AH26" i="5"/>
  <c r="AH29" i="5"/>
  <c r="AI29" i="5" s="1"/>
  <c r="AI22" i="9"/>
  <c r="AJ22" i="9" s="1"/>
  <c r="AU22" i="9" s="1"/>
  <c r="AV22" i="9" s="1"/>
  <c r="AH20" i="5"/>
  <c r="AI20" i="5" s="1"/>
  <c r="AH35" i="5"/>
  <c r="AH18" i="5"/>
  <c r="AI18" i="5" s="1"/>
  <c r="AI16" i="9"/>
  <c r="AJ16" i="9" s="1"/>
  <c r="AU16" i="9" s="1"/>
  <c r="AV16" i="9" s="1"/>
  <c r="AI28" i="9"/>
  <c r="AJ28" i="9" s="1"/>
  <c r="AU28" i="9" s="1"/>
  <c r="AV28" i="9" s="1"/>
  <c r="AH33" i="5"/>
  <c r="AI33" i="5" s="1"/>
  <c r="AI18" i="9"/>
  <c r="AJ18" i="9" s="1"/>
  <c r="AU18" i="9" s="1"/>
  <c r="AV18" i="9" s="1"/>
  <c r="AI14" i="9"/>
  <c r="AJ14" i="9" s="1"/>
  <c r="AU14" i="9" s="1"/>
  <c r="AV14" i="9" s="1"/>
  <c r="AC15" i="5"/>
  <c r="AO15" i="5" s="1"/>
  <c r="AW15" i="5" s="1"/>
  <c r="AI29" i="9"/>
  <c r="AJ29" i="9" s="1"/>
  <c r="AU29" i="9" s="1"/>
  <c r="AV29" i="9" s="1"/>
  <c r="AH32" i="5"/>
  <c r="AI32" i="5" s="1"/>
  <c r="AH23" i="5"/>
  <c r="AI23" i="5" s="1"/>
  <c r="AH11" i="5"/>
  <c r="AI11" i="5" s="1"/>
  <c r="B149" i="8"/>
  <c r="AE37" i="8"/>
  <c r="AH22" i="5"/>
  <c r="AI22" i="5" s="1"/>
  <c r="AH16" i="5"/>
  <c r="AI16" i="5" s="1"/>
  <c r="AH21" i="5"/>
  <c r="AI21" i="5" s="1"/>
  <c r="B153" i="6"/>
  <c r="B153" i="8"/>
  <c r="G120" i="6"/>
  <c r="H120" i="6" s="1"/>
  <c r="AH24" i="5"/>
  <c r="AI24" i="5" s="1"/>
  <c r="AC23" i="5"/>
  <c r="AX23" i="5" s="1"/>
  <c r="BF23" i="5" s="1"/>
  <c r="AH31" i="5"/>
  <c r="AI31" i="5" s="1"/>
  <c r="AH12" i="5"/>
  <c r="AI12" i="5" s="1"/>
  <c r="T46" i="8"/>
  <c r="AA38" i="8"/>
  <c r="D18" i="4"/>
  <c r="E18" i="4" s="1"/>
  <c r="AH28" i="5"/>
  <c r="AI28" i="5" s="1"/>
  <c r="AH17" i="5"/>
  <c r="AI17" i="5" s="1"/>
  <c r="AI17" i="9"/>
  <c r="AJ17" i="9" s="1"/>
  <c r="AU17" i="9" s="1"/>
  <c r="AV17" i="9" s="1"/>
  <c r="AD43" i="8"/>
  <c r="AH34" i="5"/>
  <c r="AI34" i="5" s="1"/>
  <c r="AH19" i="5"/>
  <c r="AI19" i="5" s="1"/>
  <c r="AC11" i="5"/>
  <c r="AX11" i="5" s="1"/>
  <c r="AZ11" i="5" s="1"/>
  <c r="AB46" i="6"/>
  <c r="X36" i="8"/>
  <c r="X46" i="8" s="1"/>
  <c r="AH9" i="5"/>
  <c r="AI9" i="5" s="1"/>
  <c r="AH8" i="5"/>
  <c r="AC8" i="5" s="1"/>
  <c r="AH13" i="5"/>
  <c r="V46" i="8"/>
  <c r="AH7" i="5"/>
  <c r="AI7" i="5" s="1"/>
  <c r="AO38" i="8"/>
  <c r="AH25" i="5"/>
  <c r="AI25" i="5" s="1"/>
  <c r="AH46" i="6"/>
  <c r="AC33" i="5"/>
  <c r="AX33" i="5" s="1"/>
  <c r="BI33" i="5" s="1"/>
  <c r="AH10" i="5"/>
  <c r="AH30" i="5"/>
  <c r="AI30" i="5" s="1"/>
  <c r="G121" i="6"/>
  <c r="AC28" i="5"/>
  <c r="AN28" i="5" s="1"/>
  <c r="AA37" i="8"/>
  <c r="B154" i="6"/>
  <c r="B156" i="6" s="1"/>
  <c r="B154" i="8"/>
  <c r="AC29" i="5"/>
  <c r="AN29" i="5" s="1"/>
  <c r="A85" i="8"/>
  <c r="B98" i="8" s="1"/>
  <c r="C69" i="4"/>
  <c r="W46" i="8"/>
  <c r="P60" i="4"/>
  <c r="O61" i="4"/>
  <c r="AA32" i="8"/>
  <c r="AO32" i="8"/>
  <c r="Y33" i="8"/>
  <c r="Z45" i="8"/>
  <c r="AN45" i="8"/>
  <c r="AD45" i="8"/>
  <c r="AD46" i="8" s="1"/>
  <c r="AH46" i="8"/>
  <c r="Z43" i="8"/>
  <c r="Z46" i="8" s="1"/>
  <c r="AN43" i="8"/>
  <c r="AN46" i="8" s="1"/>
  <c r="AK38" i="8"/>
  <c r="AK37" i="8"/>
  <c r="AB36" i="8"/>
  <c r="AB46" i="8" s="1"/>
  <c r="AL36" i="8"/>
  <c r="AL46" i="8" s="1"/>
  <c r="AM33" i="8"/>
  <c r="AM46" i="8" s="1"/>
  <c r="AC33" i="8"/>
  <c r="AC46" i="8" s="1"/>
  <c r="AK32" i="8"/>
  <c r="AI33" i="8"/>
  <c r="AI46" i="8" s="1"/>
  <c r="K40" i="4"/>
  <c r="K37" i="4"/>
  <c r="AE46" i="8"/>
  <c r="AX42" i="9"/>
  <c r="B53" i="9" s="1"/>
  <c r="B54" i="9" s="1"/>
  <c r="B68" i="4"/>
  <c r="E54" i="4"/>
  <c r="F24" i="1"/>
  <c r="E53" i="4"/>
  <c r="B99" i="9"/>
  <c r="B98" i="9"/>
  <c r="B97" i="9"/>
  <c r="B152" i="6"/>
  <c r="E82" i="9"/>
  <c r="E106" i="9" s="1"/>
  <c r="F81" i="9"/>
  <c r="AU12" i="9"/>
  <c r="F120" i="8"/>
  <c r="E121" i="8"/>
  <c r="AJ46" i="8"/>
  <c r="D69" i="5"/>
  <c r="D94" i="5" s="1"/>
  <c r="E68" i="5"/>
  <c r="AC31" i="5"/>
  <c r="AH6" i="5"/>
  <c r="AC6" i="5" s="1"/>
  <c r="AX6" i="5" s="1"/>
  <c r="AI26" i="5"/>
  <c r="AC26" i="5"/>
  <c r="AP42" i="9"/>
  <c r="AK46" i="6"/>
  <c r="B150" i="8"/>
  <c r="B152" i="8" s="1"/>
  <c r="B186" i="6"/>
  <c r="B69" i="7" s="1"/>
  <c r="B163" i="6"/>
  <c r="C163" i="6" s="1"/>
  <c r="D163" i="6" s="1"/>
  <c r="E163" i="6" s="1"/>
  <c r="F163" i="6" s="1"/>
  <c r="G163" i="6" s="1"/>
  <c r="H163" i="6" s="1"/>
  <c r="I163" i="6" s="1"/>
  <c r="J163" i="6" s="1"/>
  <c r="K163" i="6" s="1"/>
  <c r="L163" i="6" s="1"/>
  <c r="M163" i="6" s="1"/>
  <c r="N163" i="6" s="1"/>
  <c r="O163" i="6" s="1"/>
  <c r="P163" i="6" s="1"/>
  <c r="Q163" i="6" s="1"/>
  <c r="R163" i="6" s="1"/>
  <c r="S163" i="6" s="1"/>
  <c r="T163" i="6" s="1"/>
  <c r="U163" i="6" s="1"/>
  <c r="V163" i="6" s="1"/>
  <c r="W163" i="6" s="1"/>
  <c r="X163" i="6" s="1"/>
  <c r="Y163" i="6" s="1"/>
  <c r="Z163" i="6" s="1"/>
  <c r="AA163" i="6" s="1"/>
  <c r="AB163" i="6" s="1"/>
  <c r="AC163" i="6" s="1"/>
  <c r="AD163" i="6" s="1"/>
  <c r="AE163" i="6" s="1"/>
  <c r="AF163" i="6" s="1"/>
  <c r="AG163" i="6" s="1"/>
  <c r="AH163" i="6" s="1"/>
  <c r="AI163" i="6" s="1"/>
  <c r="AJ163" i="6" s="1"/>
  <c r="AK163" i="6" s="1"/>
  <c r="AL163" i="6" s="1"/>
  <c r="AM163" i="6" s="1"/>
  <c r="AN163" i="6" s="1"/>
  <c r="AO163" i="6" s="1"/>
  <c r="AP163" i="6" s="1"/>
  <c r="AI35" i="5"/>
  <c r="AC35" i="5"/>
  <c r="BI23" i="5"/>
  <c r="AC34" i="5"/>
  <c r="AC22" i="5"/>
  <c r="E73" i="4"/>
  <c r="D74" i="4"/>
  <c r="D69" i="4" s="1"/>
  <c r="D34" i="4"/>
  <c r="B96" i="5"/>
  <c r="C96" i="5" s="1"/>
  <c r="B108" i="9"/>
  <c r="C108" i="9" s="1"/>
  <c r="D108" i="9" s="1"/>
  <c r="B186" i="8"/>
  <c r="B69" i="11" s="1"/>
  <c r="C163" i="8"/>
  <c r="D163" i="8" s="1"/>
  <c r="E163" i="8" s="1"/>
  <c r="F163" i="8" s="1"/>
  <c r="G163" i="8" s="1"/>
  <c r="H163" i="8" s="1"/>
  <c r="I163" i="8" s="1"/>
  <c r="J163" i="8" s="1"/>
  <c r="K163" i="8" s="1"/>
  <c r="L163" i="8" s="1"/>
  <c r="M163" i="8" s="1"/>
  <c r="N163" i="8" s="1"/>
  <c r="O163" i="8" s="1"/>
  <c r="P163" i="8" s="1"/>
  <c r="Q163" i="8" s="1"/>
  <c r="R163" i="8" s="1"/>
  <c r="S163" i="8" s="1"/>
  <c r="T163" i="8" s="1"/>
  <c r="U163" i="8" s="1"/>
  <c r="V163" i="8" s="1"/>
  <c r="W163" i="8" s="1"/>
  <c r="X163" i="8" s="1"/>
  <c r="Y163" i="8" s="1"/>
  <c r="Z163" i="8" s="1"/>
  <c r="AA163" i="8" s="1"/>
  <c r="AB163" i="8" s="1"/>
  <c r="AC163" i="8" s="1"/>
  <c r="AD163" i="8" s="1"/>
  <c r="AE163" i="8" s="1"/>
  <c r="AF163" i="8" s="1"/>
  <c r="AG163" i="8" s="1"/>
  <c r="AH163" i="8" s="1"/>
  <c r="AI163" i="8" s="1"/>
  <c r="AJ163" i="8" s="1"/>
  <c r="AK163" i="8" s="1"/>
  <c r="AL163" i="8" s="1"/>
  <c r="AM163" i="8" s="1"/>
  <c r="AN163" i="8" s="1"/>
  <c r="AO163" i="8" s="1"/>
  <c r="AP163" i="8" s="1"/>
  <c r="B95" i="9"/>
  <c r="B94" i="9"/>
  <c r="B93" i="9"/>
  <c r="C35" i="4" l="1"/>
  <c r="C150" i="8" s="1"/>
  <c r="C25" i="4"/>
  <c r="C136" i="8" s="1"/>
  <c r="B156" i="8"/>
  <c r="F20" i="4"/>
  <c r="F24" i="4" s="1"/>
  <c r="F137" i="8" s="1"/>
  <c r="E108" i="9"/>
  <c r="G16" i="4"/>
  <c r="F27" i="4"/>
  <c r="C38" i="4"/>
  <c r="C93" i="9" s="1"/>
  <c r="C41" i="4"/>
  <c r="C98" i="9" s="1"/>
  <c r="D96" i="5"/>
  <c r="C46" i="4"/>
  <c r="C47" i="4" s="1"/>
  <c r="C28" i="4"/>
  <c r="D19" i="4"/>
  <c r="D46" i="4" s="1"/>
  <c r="D47" i="4" s="1"/>
  <c r="T49" i="6"/>
  <c r="Y46" i="8"/>
  <c r="B97" i="6"/>
  <c r="AH143" i="6" s="1"/>
  <c r="A88" i="6"/>
  <c r="B135" i="6" s="1"/>
  <c r="B138" i="6" s="1"/>
  <c r="AO46" i="8"/>
  <c r="AM144" i="6"/>
  <c r="B79" i="4"/>
  <c r="B7" i="7" s="1"/>
  <c r="C26" i="4"/>
  <c r="BJ23" i="5"/>
  <c r="AC20" i="5"/>
  <c r="AX20" i="5" s="1"/>
  <c r="AC27" i="5"/>
  <c r="AX27" i="5" s="1"/>
  <c r="AN15" i="5"/>
  <c r="AZ23" i="5"/>
  <c r="AN23" i="5"/>
  <c r="AC14" i="5"/>
  <c r="AY23" i="5"/>
  <c r="BA23" i="5" s="1"/>
  <c r="BH27" i="5"/>
  <c r="AN27" i="5"/>
  <c r="AV27" i="5" s="1"/>
  <c r="BB27" i="5" s="1"/>
  <c r="BD27" i="5" s="1"/>
  <c r="AC32" i="5"/>
  <c r="AN32" i="5" s="1"/>
  <c r="AC25" i="5"/>
  <c r="AX25" i="5" s="1"/>
  <c r="AJ42" i="9"/>
  <c r="AC16" i="5"/>
  <c r="AX16" i="5" s="1"/>
  <c r="AY16" i="5" s="1"/>
  <c r="BE11" i="5"/>
  <c r="AI8" i="5"/>
  <c r="AO27" i="5"/>
  <c r="AW27" i="5" s="1"/>
  <c r="BC27" i="5" s="1"/>
  <c r="AI42" i="9"/>
  <c r="AC18" i="5"/>
  <c r="AN18" i="5" s="1"/>
  <c r="AN11" i="5"/>
  <c r="AV11" i="5" s="1"/>
  <c r="BB11" i="5" s="1"/>
  <c r="BD11" i="5" s="1"/>
  <c r="BI11" i="5"/>
  <c r="AX15" i="5"/>
  <c r="AZ15" i="5" s="1"/>
  <c r="BK23" i="5"/>
  <c r="BH23" i="5"/>
  <c r="AC17" i="5"/>
  <c r="AN17" i="5" s="1"/>
  <c r="AV17" i="5" s="1"/>
  <c r="BE23" i="5"/>
  <c r="AO23" i="5"/>
  <c r="AW23" i="5" s="1"/>
  <c r="BC23" i="5" s="1"/>
  <c r="BI27" i="5"/>
  <c r="AY27" i="5"/>
  <c r="AO11" i="5"/>
  <c r="AW11" i="5" s="1"/>
  <c r="BC11" i="5" s="1"/>
  <c r="AC9" i="5"/>
  <c r="AX9" i="5" s="1"/>
  <c r="BF11" i="5"/>
  <c r="BJ11" i="5"/>
  <c r="BF16" i="5"/>
  <c r="BK33" i="5"/>
  <c r="AC21" i="5"/>
  <c r="AO21" i="5" s="1"/>
  <c r="AW21" i="5" s="1"/>
  <c r="H121" i="6"/>
  <c r="I120" i="6"/>
  <c r="BK11" i="5"/>
  <c r="BH11" i="5"/>
  <c r="BF33" i="5"/>
  <c r="T49" i="8"/>
  <c r="AC24" i="5"/>
  <c r="AX24" i="5" s="1"/>
  <c r="BF24" i="5" s="1"/>
  <c r="AY11" i="5"/>
  <c r="BA11" i="5" s="1"/>
  <c r="BK16" i="5"/>
  <c r="BE27" i="5"/>
  <c r="BK27" i="5"/>
  <c r="AC12" i="5"/>
  <c r="AO12" i="5" s="1"/>
  <c r="AW12" i="5" s="1"/>
  <c r="BF27" i="5"/>
  <c r="AU42" i="9"/>
  <c r="B47" i="9" s="1"/>
  <c r="AV12" i="9"/>
  <c r="AV42" i="9" s="1"/>
  <c r="B48" i="9" s="1"/>
  <c r="AA46" i="8"/>
  <c r="BJ33" i="5"/>
  <c r="AZ33" i="5"/>
  <c r="AY33" i="5"/>
  <c r="AO16" i="5"/>
  <c r="AW16" i="5" s="1"/>
  <c r="BC16" i="5" s="1"/>
  <c r="AC19" i="5"/>
  <c r="AX19" i="5" s="1"/>
  <c r="BI19" i="5" s="1"/>
  <c r="BH33" i="5"/>
  <c r="AN33" i="5"/>
  <c r="AV33" i="5" s="1"/>
  <c r="BB33" i="5" s="1"/>
  <c r="BD33" i="5" s="1"/>
  <c r="BJ16" i="5"/>
  <c r="BE33" i="5"/>
  <c r="AO33" i="5"/>
  <c r="AW33" i="5" s="1"/>
  <c r="BC33" i="5" s="1"/>
  <c r="AC7" i="5"/>
  <c r="AO7" i="5" s="1"/>
  <c r="AW7" i="5" s="1"/>
  <c r="AI13" i="5"/>
  <c r="AC13" i="5"/>
  <c r="B100" i="9"/>
  <c r="AK46" i="8"/>
  <c r="AC30" i="5"/>
  <c r="AO30" i="5" s="1"/>
  <c r="AW30" i="5" s="1"/>
  <c r="AI10" i="5"/>
  <c r="AC10" i="5"/>
  <c r="A88" i="8"/>
  <c r="B135" i="8" s="1"/>
  <c r="B138" i="8" s="1"/>
  <c r="B97" i="8"/>
  <c r="AF143" i="8" s="1"/>
  <c r="AX29" i="5"/>
  <c r="AO29" i="5"/>
  <c r="AW29" i="5" s="1"/>
  <c r="AX28" i="5"/>
  <c r="AO28" i="5"/>
  <c r="AW28" i="5" s="1"/>
  <c r="Q60" i="4"/>
  <c r="P61" i="4"/>
  <c r="P62" i="4"/>
  <c r="P63" i="4"/>
  <c r="L37" i="4"/>
  <c r="L40" i="4"/>
  <c r="F54" i="4"/>
  <c r="G24" i="1"/>
  <c r="F53" i="4"/>
  <c r="E34" i="4"/>
  <c r="AX22" i="5"/>
  <c r="AO22" i="5"/>
  <c r="AW22" i="5" s="1"/>
  <c r="AN22" i="5"/>
  <c r="AY15" i="5"/>
  <c r="AX8" i="5"/>
  <c r="AN8" i="5"/>
  <c r="AO8" i="5"/>
  <c r="AW8" i="5" s="1"/>
  <c r="B126" i="6"/>
  <c r="AN144" i="8"/>
  <c r="AJ144" i="8"/>
  <c r="AF144" i="8"/>
  <c r="AB144" i="8"/>
  <c r="X144" i="8"/>
  <c r="T144" i="8"/>
  <c r="P144" i="8"/>
  <c r="L144" i="8"/>
  <c r="H144" i="8"/>
  <c r="D144" i="8"/>
  <c r="AM144" i="8"/>
  <c r="AI144" i="8"/>
  <c r="AE144" i="8"/>
  <c r="AA144" i="8"/>
  <c r="W144" i="8"/>
  <c r="S144" i="8"/>
  <c r="O144" i="8"/>
  <c r="K144" i="8"/>
  <c r="G144" i="8"/>
  <c r="C144" i="8"/>
  <c r="AL144" i="8"/>
  <c r="AD144" i="8"/>
  <c r="V144" i="8"/>
  <c r="N144" i="8"/>
  <c r="F144" i="8"/>
  <c r="AK144" i="8"/>
  <c r="AC144" i="8"/>
  <c r="U144" i="8"/>
  <c r="M144" i="8"/>
  <c r="E144" i="8"/>
  <c r="AH144" i="8"/>
  <c r="Z144" i="8"/>
  <c r="R144" i="8"/>
  <c r="J144" i="8"/>
  <c r="Q144" i="8"/>
  <c r="AO144" i="8"/>
  <c r="I144" i="8"/>
  <c r="AG144" i="8"/>
  <c r="Y144" i="8"/>
  <c r="B144" i="8"/>
  <c r="AX14" i="5"/>
  <c r="AO14" i="5"/>
  <c r="AW14" i="5" s="1"/>
  <c r="AN14" i="5"/>
  <c r="AN20" i="5"/>
  <c r="B127" i="6"/>
  <c r="AX34" i="5"/>
  <c r="AN34" i="5"/>
  <c r="AO34" i="5"/>
  <c r="AW34" i="5" s="1"/>
  <c r="AV29" i="5"/>
  <c r="AV28" i="5"/>
  <c r="D68" i="4"/>
  <c r="E74" i="4"/>
  <c r="F73" i="4"/>
  <c r="AO9" i="5"/>
  <c r="AW9" i="5" s="1"/>
  <c r="AX26" i="5"/>
  <c r="AO26" i="5"/>
  <c r="AW26" i="5" s="1"/>
  <c r="AN26" i="5"/>
  <c r="AX32" i="5"/>
  <c r="AO32" i="5"/>
  <c r="AW32" i="5" s="1"/>
  <c r="E19" i="4"/>
  <c r="E22" i="4" s="1"/>
  <c r="E137" i="6" s="1"/>
  <c r="F18" i="4"/>
  <c r="AX31" i="5"/>
  <c r="AO31" i="5"/>
  <c r="AW31" i="5" s="1"/>
  <c r="AN31" i="5"/>
  <c r="F121" i="8"/>
  <c r="G120" i="8"/>
  <c r="AV15" i="5"/>
  <c r="AP15" i="5"/>
  <c r="AQ15" i="5" s="1"/>
  <c r="AR15" i="5" s="1"/>
  <c r="AX35" i="5"/>
  <c r="AN35" i="5"/>
  <c r="AO35" i="5"/>
  <c r="AW35" i="5" s="1"/>
  <c r="AV23" i="5"/>
  <c r="BB23" i="5" s="1"/>
  <c r="BD23" i="5" s="1"/>
  <c r="B80" i="4"/>
  <c r="B7" i="11" s="1"/>
  <c r="D25" i="4"/>
  <c r="D136" i="8" s="1"/>
  <c r="D28" i="4"/>
  <c r="AI6" i="5"/>
  <c r="E69" i="5"/>
  <c r="E94" i="5" s="1"/>
  <c r="F68" i="5"/>
  <c r="B87" i="9"/>
  <c r="F82" i="9"/>
  <c r="F106" i="9" s="1"/>
  <c r="G81" i="9"/>
  <c r="B96" i="9"/>
  <c r="B101" i="9" s="1"/>
  <c r="B143" i="6" l="1"/>
  <c r="C150" i="6"/>
  <c r="C152" i="6" s="1"/>
  <c r="L143" i="6"/>
  <c r="AM143" i="6"/>
  <c r="AC143" i="6"/>
  <c r="R143" i="6"/>
  <c r="C145" i="6"/>
  <c r="C136" i="6"/>
  <c r="D38" i="4"/>
  <c r="D87" i="9" s="1"/>
  <c r="C126" i="6"/>
  <c r="D35" i="4"/>
  <c r="D145" i="6" s="1"/>
  <c r="D136" i="6"/>
  <c r="C137" i="6"/>
  <c r="C154" i="8"/>
  <c r="C154" i="6"/>
  <c r="C156" i="6" s="1"/>
  <c r="C127" i="6"/>
  <c r="K143" i="6"/>
  <c r="X143" i="6"/>
  <c r="AL143" i="6"/>
  <c r="AK143" i="6"/>
  <c r="H143" i="6"/>
  <c r="V143" i="6"/>
  <c r="AH144" i="6"/>
  <c r="C155" i="8"/>
  <c r="C128" i="6"/>
  <c r="C128" i="8"/>
  <c r="C149" i="6"/>
  <c r="C87" i="9"/>
  <c r="D41" i="4"/>
  <c r="D22" i="4"/>
  <c r="D137" i="6" s="1"/>
  <c r="Y143" i="6"/>
  <c r="U143" i="6"/>
  <c r="AD143" i="6"/>
  <c r="C143" i="6"/>
  <c r="T143" i="6"/>
  <c r="I143" i="6"/>
  <c r="P143" i="6"/>
  <c r="E143" i="6"/>
  <c r="N143" i="6"/>
  <c r="Z143" i="6"/>
  <c r="D143" i="6"/>
  <c r="AF143" i="6"/>
  <c r="B146" i="6"/>
  <c r="B145" i="6"/>
  <c r="W143" i="6"/>
  <c r="Q143" i="6"/>
  <c r="AI143" i="6"/>
  <c r="J143" i="6"/>
  <c r="M143" i="6"/>
  <c r="AE143" i="6"/>
  <c r="F143" i="6"/>
  <c r="AA143" i="6"/>
  <c r="AB143" i="6"/>
  <c r="G143" i="6"/>
  <c r="AN143" i="6"/>
  <c r="S143" i="6"/>
  <c r="AG143" i="6"/>
  <c r="AJ143" i="6"/>
  <c r="O143" i="6"/>
  <c r="AO143" i="6"/>
  <c r="U144" i="6"/>
  <c r="B126" i="8"/>
  <c r="K144" i="6"/>
  <c r="B144" i="6"/>
  <c r="AB144" i="6"/>
  <c r="G20" i="4"/>
  <c r="B127" i="8"/>
  <c r="C149" i="8"/>
  <c r="C151" i="8"/>
  <c r="C152" i="8" s="1"/>
  <c r="C94" i="9"/>
  <c r="C99" i="9"/>
  <c r="C100" i="9" s="1"/>
  <c r="H16" i="4"/>
  <c r="G27" i="4"/>
  <c r="D126" i="6"/>
  <c r="C97" i="9"/>
  <c r="C95" i="9"/>
  <c r="C146" i="6"/>
  <c r="AL144" i="6"/>
  <c r="F144" i="6"/>
  <c r="AF144" i="6"/>
  <c r="Y144" i="6"/>
  <c r="O144" i="6"/>
  <c r="Z144" i="6"/>
  <c r="AD144" i="6"/>
  <c r="E144" i="6"/>
  <c r="AK144" i="6"/>
  <c r="AA144" i="6"/>
  <c r="D144" i="6"/>
  <c r="H144" i="6"/>
  <c r="I144" i="6"/>
  <c r="AO144" i="6"/>
  <c r="AE144" i="6"/>
  <c r="Z143" i="8"/>
  <c r="F143" i="8"/>
  <c r="Y143" i="8"/>
  <c r="AB143" i="8"/>
  <c r="E143" i="8"/>
  <c r="AD143" i="8"/>
  <c r="Q143" i="8"/>
  <c r="G143" i="8"/>
  <c r="AM143" i="8"/>
  <c r="U143" i="8"/>
  <c r="D143" i="8"/>
  <c r="B129" i="6"/>
  <c r="B132" i="6" s="1"/>
  <c r="X143" i="8"/>
  <c r="W143" i="8"/>
  <c r="L143" i="8"/>
  <c r="AN143" i="8"/>
  <c r="AA143" i="8"/>
  <c r="AH143" i="8"/>
  <c r="AO143" i="8"/>
  <c r="C143" i="8"/>
  <c r="B99" i="8"/>
  <c r="AG143" i="8"/>
  <c r="V143" i="8"/>
  <c r="AC143" i="8"/>
  <c r="C146" i="8"/>
  <c r="I143" i="8"/>
  <c r="AI143" i="8"/>
  <c r="N143" i="8"/>
  <c r="H143" i="8"/>
  <c r="M143" i="8"/>
  <c r="O143" i="8"/>
  <c r="AJ143" i="8"/>
  <c r="K143" i="8"/>
  <c r="C145" i="8"/>
  <c r="B143" i="8"/>
  <c r="P143" i="8"/>
  <c r="R143" i="8"/>
  <c r="B145" i="8"/>
  <c r="S143" i="8"/>
  <c r="B146" i="8"/>
  <c r="AE143" i="8"/>
  <c r="AK143" i="8"/>
  <c r="J143" i="8"/>
  <c r="T143" i="8"/>
  <c r="AL143" i="8"/>
  <c r="C126" i="8"/>
  <c r="C79" i="4"/>
  <c r="C135" i="6"/>
  <c r="J144" i="6"/>
  <c r="L144" i="6"/>
  <c r="N144" i="6"/>
  <c r="P144" i="6"/>
  <c r="AJ144" i="6"/>
  <c r="M144" i="6"/>
  <c r="AC144" i="6"/>
  <c r="C144" i="6"/>
  <c r="S144" i="6"/>
  <c r="AI144" i="6"/>
  <c r="B99" i="6"/>
  <c r="R144" i="6"/>
  <c r="T144" i="6"/>
  <c r="V144" i="6"/>
  <c r="X144" i="6"/>
  <c r="AN144" i="6"/>
  <c r="Q144" i="6"/>
  <c r="AG144" i="6"/>
  <c r="G144" i="6"/>
  <c r="W144" i="6"/>
  <c r="BB15" i="5"/>
  <c r="BD15" i="5" s="1"/>
  <c r="AO20" i="5"/>
  <c r="AW20" i="5" s="1"/>
  <c r="BC20" i="5" s="1"/>
  <c r="BK15" i="5"/>
  <c r="BF15" i="5"/>
  <c r="AN16" i="5"/>
  <c r="AP16" i="5" s="1"/>
  <c r="AQ16" i="5" s="1"/>
  <c r="AR16" i="5" s="1"/>
  <c r="AN25" i="5"/>
  <c r="BH16" i="5"/>
  <c r="BE16" i="5"/>
  <c r="AZ27" i="5"/>
  <c r="BA27" i="5" s="1"/>
  <c r="BG27" i="5" s="1"/>
  <c r="BJ27" i="5"/>
  <c r="AO25" i="5"/>
  <c r="AW25" i="5" s="1"/>
  <c r="AN9" i="5"/>
  <c r="AV9" i="5" s="1"/>
  <c r="BB9" i="5" s="1"/>
  <c r="BD9" i="5" s="1"/>
  <c r="BE15" i="5"/>
  <c r="BH15" i="5"/>
  <c r="BI16" i="5"/>
  <c r="AZ16" i="5"/>
  <c r="BA16" i="5" s="1"/>
  <c r="AP27" i="5"/>
  <c r="AQ27" i="5" s="1"/>
  <c r="AR27" i="5" s="1"/>
  <c r="AP29" i="5"/>
  <c r="AQ29" i="5" s="1"/>
  <c r="AR29" i="5" s="1"/>
  <c r="AO18" i="5"/>
  <c r="AW18" i="5" s="1"/>
  <c r="AX18" i="5"/>
  <c r="BI15" i="5"/>
  <c r="BJ15" i="5"/>
  <c r="AN12" i="5"/>
  <c r="AV12" i="5" s="1"/>
  <c r="AP23" i="5"/>
  <c r="AQ23" i="5" s="1"/>
  <c r="AR23" i="5" s="1"/>
  <c r="BC15" i="5"/>
  <c r="BE24" i="5"/>
  <c r="AO17" i="5"/>
  <c r="AP17" i="5" s="1"/>
  <c r="AQ17" i="5" s="1"/>
  <c r="AR17" i="5" s="1"/>
  <c r="AZ24" i="5"/>
  <c r="AX17" i="5"/>
  <c r="BJ17" i="5" s="1"/>
  <c r="BH24" i="5"/>
  <c r="AP11" i="5"/>
  <c r="AQ11" i="5" s="1"/>
  <c r="AR11" i="5" s="1"/>
  <c r="AN21" i="5"/>
  <c r="AX21" i="5"/>
  <c r="AY21" i="5" s="1"/>
  <c r="BG11" i="5"/>
  <c r="BI24" i="5"/>
  <c r="BK24" i="5"/>
  <c r="C127" i="8"/>
  <c r="AV18" i="5"/>
  <c r="BB18" i="5" s="1"/>
  <c r="BD18" i="5" s="1"/>
  <c r="BB29" i="5"/>
  <c r="BD29" i="5" s="1"/>
  <c r="AN24" i="5"/>
  <c r="AY24" i="5"/>
  <c r="BA24" i="5" s="1"/>
  <c r="I121" i="6"/>
  <c r="J120" i="6"/>
  <c r="AO24" i="5"/>
  <c r="AW24" i="5" s="1"/>
  <c r="BC24" i="5" s="1"/>
  <c r="BJ24" i="5"/>
  <c r="AX12" i="5"/>
  <c r="BC12" i="5" s="1"/>
  <c r="AP28" i="5"/>
  <c r="AQ28" i="5" s="1"/>
  <c r="AR28" i="5" s="1"/>
  <c r="AN19" i="5"/>
  <c r="AV19" i="5" s="1"/>
  <c r="BB19" i="5" s="1"/>
  <c r="BD19" i="5" s="1"/>
  <c r="AY19" i="5"/>
  <c r="B49" i="9"/>
  <c r="B86" i="9" s="1"/>
  <c r="B104" i="9"/>
  <c r="BK19" i="5"/>
  <c r="BF19" i="5"/>
  <c r="AO19" i="5"/>
  <c r="AW19" i="5" s="1"/>
  <c r="BC19" i="5" s="1"/>
  <c r="AP33" i="5"/>
  <c r="AQ33" i="5" s="1"/>
  <c r="AR33" i="5" s="1"/>
  <c r="BA15" i="5"/>
  <c r="BH19" i="5"/>
  <c r="BA33" i="5"/>
  <c r="BG33" i="5" s="1"/>
  <c r="C135" i="8"/>
  <c r="AV16" i="5"/>
  <c r="BB16" i="5" s="1"/>
  <c r="BD16" i="5" s="1"/>
  <c r="BB28" i="5"/>
  <c r="BD28" i="5" s="1"/>
  <c r="AX7" i="5"/>
  <c r="AN7" i="5"/>
  <c r="AV7" i="5" s="1"/>
  <c r="BJ19" i="5"/>
  <c r="AZ19" i="5"/>
  <c r="BE19" i="5"/>
  <c r="AX13" i="5"/>
  <c r="AN13" i="5"/>
  <c r="AO13" i="5"/>
  <c r="AW13" i="5" s="1"/>
  <c r="AN30" i="5"/>
  <c r="AP30" i="5" s="1"/>
  <c r="AQ30" i="5" s="1"/>
  <c r="AR30" i="5" s="1"/>
  <c r="AX30" i="5"/>
  <c r="AY30" i="5" s="1"/>
  <c r="AW17" i="5"/>
  <c r="AX10" i="5"/>
  <c r="AO10" i="5"/>
  <c r="AW10" i="5" s="1"/>
  <c r="AN10" i="5"/>
  <c r="BI29" i="5"/>
  <c r="BK29" i="5"/>
  <c r="BE29" i="5"/>
  <c r="BC29" i="5"/>
  <c r="BJ29" i="5"/>
  <c r="BH29" i="5"/>
  <c r="AY29" i="5"/>
  <c r="BF29" i="5"/>
  <c r="AZ29" i="5"/>
  <c r="BJ6" i="5"/>
  <c r="BI6" i="5"/>
  <c r="BH6" i="5"/>
  <c r="BI25" i="5"/>
  <c r="BE25" i="5"/>
  <c r="BC25" i="5"/>
  <c r="BK25" i="5"/>
  <c r="AY25" i="5"/>
  <c r="BJ25" i="5"/>
  <c r="BH25" i="5"/>
  <c r="BF25" i="5"/>
  <c r="AZ25" i="5"/>
  <c r="BK28" i="5"/>
  <c r="BF28" i="5"/>
  <c r="AZ28" i="5"/>
  <c r="BC28" i="5"/>
  <c r="BI28" i="5"/>
  <c r="AY28" i="5"/>
  <c r="BE28" i="5"/>
  <c r="BJ28" i="5"/>
  <c r="BH28" i="5"/>
  <c r="AV25" i="5"/>
  <c r="BB25" i="5" s="1"/>
  <c r="BD25" i="5" s="1"/>
  <c r="Q62" i="4"/>
  <c r="R60" i="4"/>
  <c r="Q61" i="4"/>
  <c r="Q63" i="4"/>
  <c r="D145" i="8"/>
  <c r="M37" i="4"/>
  <c r="M40" i="4"/>
  <c r="H24" i="1"/>
  <c r="G53" i="4"/>
  <c r="G54" i="4"/>
  <c r="H81" i="9"/>
  <c r="G82" i="9"/>
  <c r="G106" i="9" s="1"/>
  <c r="B82" i="4"/>
  <c r="C80" i="4"/>
  <c r="AV35" i="5"/>
  <c r="BB35" i="5" s="1"/>
  <c r="BD35" i="5" s="1"/>
  <c r="AP35" i="5"/>
  <c r="AQ35" i="5" s="1"/>
  <c r="AR35" i="5" s="1"/>
  <c r="H120" i="8"/>
  <c r="G121" i="8"/>
  <c r="BH31" i="5"/>
  <c r="AZ31" i="5"/>
  <c r="BK31" i="5"/>
  <c r="BF31" i="5"/>
  <c r="BJ31" i="5"/>
  <c r="BE31" i="5"/>
  <c r="AY31" i="5"/>
  <c r="BI31" i="5"/>
  <c r="BC31" i="5"/>
  <c r="E25" i="4"/>
  <c r="E136" i="8" s="1"/>
  <c r="E38" i="4"/>
  <c r="E46" i="4"/>
  <c r="E47" i="4" s="1"/>
  <c r="E41" i="4"/>
  <c r="E28" i="4"/>
  <c r="BJ9" i="5"/>
  <c r="BF9" i="5"/>
  <c r="BH9" i="5"/>
  <c r="AZ9" i="5"/>
  <c r="BK9" i="5"/>
  <c r="BC9" i="5"/>
  <c r="AY9" i="5"/>
  <c r="BI9" i="5"/>
  <c r="BE9" i="5"/>
  <c r="G73" i="4"/>
  <c r="F74" i="4"/>
  <c r="C7" i="7"/>
  <c r="D79" i="4"/>
  <c r="BK20" i="5"/>
  <c r="AY20" i="5"/>
  <c r="BI20" i="5"/>
  <c r="BE20" i="5"/>
  <c r="BJ20" i="5"/>
  <c r="BH20" i="5"/>
  <c r="AZ20" i="5"/>
  <c r="BF20" i="5"/>
  <c r="BK8" i="5"/>
  <c r="BC8" i="5"/>
  <c r="BI8" i="5"/>
  <c r="BE8" i="5"/>
  <c r="BH8" i="5"/>
  <c r="AZ8" i="5"/>
  <c r="BJ8" i="5"/>
  <c r="BF8" i="5"/>
  <c r="D150" i="8"/>
  <c r="D154" i="8"/>
  <c r="D154" i="6"/>
  <c r="D156" i="6" s="1"/>
  <c r="D150" i="6"/>
  <c r="D152" i="6" s="1"/>
  <c r="F69" i="5"/>
  <c r="F94" i="5" s="1"/>
  <c r="G68" i="5"/>
  <c r="D97" i="9"/>
  <c r="D95" i="9"/>
  <c r="D126" i="8"/>
  <c r="BH35" i="5"/>
  <c r="AZ35" i="5"/>
  <c r="BJ35" i="5"/>
  <c r="BE35" i="5"/>
  <c r="AY35" i="5"/>
  <c r="BI35" i="5"/>
  <c r="BC35" i="5"/>
  <c r="BK35" i="5"/>
  <c r="BF35" i="5"/>
  <c r="AP32" i="5"/>
  <c r="AQ32" i="5" s="1"/>
  <c r="AR32" i="5" s="1"/>
  <c r="AV32" i="5"/>
  <c r="BB32" i="5" s="1"/>
  <c r="BD32" i="5" s="1"/>
  <c r="BI26" i="5"/>
  <c r="BE26" i="5"/>
  <c r="BH26" i="5"/>
  <c r="AZ26" i="5"/>
  <c r="BK26" i="5"/>
  <c r="BC26" i="5"/>
  <c r="AY26" i="5"/>
  <c r="BJ26" i="5"/>
  <c r="BF26" i="5"/>
  <c r="E68" i="4"/>
  <c r="E69" i="4"/>
  <c r="AV34" i="5"/>
  <c r="BB34" i="5" s="1"/>
  <c r="BD34" i="5" s="1"/>
  <c r="AP34" i="5"/>
  <c r="AQ34" i="5" s="1"/>
  <c r="AR34" i="5" s="1"/>
  <c r="D127" i="6"/>
  <c r="AP14" i="5"/>
  <c r="AQ14" i="5" s="1"/>
  <c r="AR14" i="5" s="1"/>
  <c r="AV14" i="5"/>
  <c r="BB14" i="5" s="1"/>
  <c r="BD14" i="5" s="1"/>
  <c r="AP22" i="5"/>
  <c r="AQ22" i="5" s="1"/>
  <c r="AR22" i="5" s="1"/>
  <c r="AV22" i="5"/>
  <c r="BB22" i="5" s="1"/>
  <c r="BD22" i="5" s="1"/>
  <c r="B140" i="6"/>
  <c r="F34" i="4"/>
  <c r="E35" i="4"/>
  <c r="AN6" i="5"/>
  <c r="AV6" i="5" s="1"/>
  <c r="AO6" i="5"/>
  <c r="AW6" i="5" s="1"/>
  <c r="E96" i="5"/>
  <c r="AV31" i="5"/>
  <c r="BB31" i="5" s="1"/>
  <c r="BD31" i="5" s="1"/>
  <c r="AP31" i="5"/>
  <c r="AQ31" i="5" s="1"/>
  <c r="AR31" i="5" s="1"/>
  <c r="BK32" i="5"/>
  <c r="BC32" i="5"/>
  <c r="AY32" i="5"/>
  <c r="BJ32" i="5"/>
  <c r="BE32" i="5"/>
  <c r="AZ32" i="5"/>
  <c r="BI32" i="5"/>
  <c r="BH32" i="5"/>
  <c r="BF32" i="5"/>
  <c r="D135" i="8"/>
  <c r="B140" i="8"/>
  <c r="BG23" i="5"/>
  <c r="D127" i="8"/>
  <c r="BI34" i="5"/>
  <c r="BE34" i="5"/>
  <c r="BK34" i="5"/>
  <c r="BF34" i="5"/>
  <c r="AZ34" i="5"/>
  <c r="BJ34" i="5"/>
  <c r="AY34" i="5"/>
  <c r="BH34" i="5"/>
  <c r="BC34" i="5"/>
  <c r="AP20" i="5"/>
  <c r="AQ20" i="5" s="1"/>
  <c r="AR20" i="5" s="1"/>
  <c r="AV20" i="5"/>
  <c r="BB20" i="5" s="1"/>
  <c r="BD20" i="5" s="1"/>
  <c r="F108" i="9"/>
  <c r="D128" i="8"/>
  <c r="D128" i="6"/>
  <c r="D26" i="4"/>
  <c r="F19" i="4"/>
  <c r="F22" i="4" s="1"/>
  <c r="F137" i="6" s="1"/>
  <c r="G18" i="4"/>
  <c r="AV26" i="5"/>
  <c r="BB26" i="5" s="1"/>
  <c r="BD26" i="5" s="1"/>
  <c r="AP26" i="5"/>
  <c r="AQ26" i="5" s="1"/>
  <c r="AR26" i="5" s="1"/>
  <c r="AP9" i="5"/>
  <c r="AQ9" i="5" s="1"/>
  <c r="AR9" i="5" s="1"/>
  <c r="BI14" i="5"/>
  <c r="BE14" i="5"/>
  <c r="BK14" i="5"/>
  <c r="BC14" i="5"/>
  <c r="AY14" i="5"/>
  <c r="BH14" i="5"/>
  <c r="AZ14" i="5"/>
  <c r="BF14" i="5"/>
  <c r="BJ14" i="5"/>
  <c r="AP8" i="5"/>
  <c r="AQ8" i="5" s="1"/>
  <c r="AR8" i="5" s="1"/>
  <c r="AV8" i="5"/>
  <c r="BB8" i="5" s="1"/>
  <c r="BI22" i="5"/>
  <c r="BE22" i="5"/>
  <c r="BK22" i="5"/>
  <c r="BC22" i="5"/>
  <c r="AY22" i="5"/>
  <c r="BH22" i="5"/>
  <c r="AZ22" i="5"/>
  <c r="BF22" i="5"/>
  <c r="BJ22" i="5"/>
  <c r="D135" i="6"/>
  <c r="H20" i="4" l="1"/>
  <c r="G24" i="4"/>
  <c r="G137" i="8" s="1"/>
  <c r="C147" i="6"/>
  <c r="C156" i="8"/>
  <c r="C129" i="6"/>
  <c r="D93" i="9"/>
  <c r="C138" i="6"/>
  <c r="C140" i="6" s="1"/>
  <c r="C138" i="8"/>
  <c r="C140" i="8" s="1"/>
  <c r="E136" i="6"/>
  <c r="D99" i="9"/>
  <c r="D138" i="6"/>
  <c r="B147" i="6"/>
  <c r="B157" i="6" s="1"/>
  <c r="B129" i="8"/>
  <c r="B132" i="8" s="1"/>
  <c r="C96" i="9"/>
  <c r="C101" i="9" s="1"/>
  <c r="C104" i="9" s="1"/>
  <c r="D98" i="9"/>
  <c r="D94" i="9"/>
  <c r="D96" i="9" s="1"/>
  <c r="I16" i="4"/>
  <c r="H27" i="4"/>
  <c r="F96" i="5"/>
  <c r="B88" i="9"/>
  <c r="B91" i="9" s="1"/>
  <c r="B110" i="9" s="1"/>
  <c r="B9" i="11" s="1"/>
  <c r="C129" i="8"/>
  <c r="B147" i="8"/>
  <c r="B157" i="8" s="1"/>
  <c r="C147" i="8"/>
  <c r="C148" i="8" s="1"/>
  <c r="C148" i="6"/>
  <c r="C157" i="6"/>
  <c r="BG16" i="5"/>
  <c r="BG15" i="5"/>
  <c r="AP25" i="5"/>
  <c r="AQ25" i="5" s="1"/>
  <c r="AR25" i="5" s="1"/>
  <c r="BI30" i="5"/>
  <c r="AP7" i="5"/>
  <c r="AQ7" i="5" s="1"/>
  <c r="AR7" i="5" s="1"/>
  <c r="BB7" i="5"/>
  <c r="AY17" i="5"/>
  <c r="AY12" i="5"/>
  <c r="BH30" i="5"/>
  <c r="BH12" i="5"/>
  <c r="BC30" i="5"/>
  <c r="BK17" i="5"/>
  <c r="AP18" i="5"/>
  <c r="AQ18" i="5" s="1"/>
  <c r="AR18" i="5" s="1"/>
  <c r="BI18" i="5"/>
  <c r="AY18" i="5"/>
  <c r="BF18" i="5"/>
  <c r="BE18" i="5"/>
  <c r="BJ18" i="5"/>
  <c r="BK18" i="5"/>
  <c r="BH18" i="5"/>
  <c r="BC18" i="5"/>
  <c r="AZ18" i="5"/>
  <c r="B57" i="9"/>
  <c r="BC7" i="5"/>
  <c r="AP19" i="5"/>
  <c r="AQ19" i="5" s="1"/>
  <c r="AR19" i="5" s="1"/>
  <c r="AP12" i="5"/>
  <c r="AQ12" i="5" s="1"/>
  <c r="AR12" i="5" s="1"/>
  <c r="B56" i="9"/>
  <c r="BC17" i="5"/>
  <c r="BB17" i="5"/>
  <c r="BD17" i="5" s="1"/>
  <c r="BF17" i="5"/>
  <c r="AZ17" i="5"/>
  <c r="BE21" i="5"/>
  <c r="C86" i="9"/>
  <c r="C88" i="9" s="1"/>
  <c r="BH17" i="5"/>
  <c r="BE17" i="5"/>
  <c r="D86" i="9"/>
  <c r="D88" i="9" s="1"/>
  <c r="BI17" i="5"/>
  <c r="BJ21" i="5"/>
  <c r="BC21" i="5"/>
  <c r="AZ21" i="5"/>
  <c r="BA21" i="5" s="1"/>
  <c r="BI21" i="5"/>
  <c r="BH21" i="5"/>
  <c r="AY7" i="5"/>
  <c r="AZ7" i="5"/>
  <c r="BI12" i="5"/>
  <c r="BK12" i="5"/>
  <c r="BA19" i="5"/>
  <c r="BG19" i="5" s="1"/>
  <c r="BB12" i="5"/>
  <c r="BD12" i="5" s="1"/>
  <c r="BF21" i="5"/>
  <c r="AV21" i="5"/>
  <c r="BB21" i="5" s="1"/>
  <c r="BD21" i="5" s="1"/>
  <c r="AP21" i="5"/>
  <c r="AQ21" i="5" s="1"/>
  <c r="AR21" i="5" s="1"/>
  <c r="BE12" i="5"/>
  <c r="BF12" i="5"/>
  <c r="BJ12" i="5"/>
  <c r="AZ12" i="5"/>
  <c r="BK21" i="5"/>
  <c r="J121" i="6"/>
  <c r="K120" i="6"/>
  <c r="AP24" i="5"/>
  <c r="AQ24" i="5" s="1"/>
  <c r="AR24" i="5" s="1"/>
  <c r="AV24" i="5"/>
  <c r="BB24" i="5" s="1"/>
  <c r="BD24" i="5" s="1"/>
  <c r="BG24" i="5" s="1"/>
  <c r="AV30" i="5"/>
  <c r="BB30" i="5" s="1"/>
  <c r="BD30" i="5" s="1"/>
  <c r="BD8" i="5"/>
  <c r="BE30" i="5"/>
  <c r="BJ30" i="5"/>
  <c r="BF30" i="5"/>
  <c r="AZ30" i="5"/>
  <c r="BA30" i="5" s="1"/>
  <c r="BK30" i="5"/>
  <c r="BH7" i="5"/>
  <c r="BK7" i="5"/>
  <c r="BI7" i="5"/>
  <c r="BE7" i="5"/>
  <c r="BJ7" i="5"/>
  <c r="BF7" i="5"/>
  <c r="AV13" i="5"/>
  <c r="BB13" i="5" s="1"/>
  <c r="BD13" i="5" s="1"/>
  <c r="AP13" i="5"/>
  <c r="AQ13" i="5" s="1"/>
  <c r="AR13" i="5" s="1"/>
  <c r="BK13" i="5"/>
  <c r="BJ13" i="5"/>
  <c r="AZ13" i="5"/>
  <c r="BI13" i="5"/>
  <c r="BC13" i="5"/>
  <c r="BF13" i="5"/>
  <c r="BE13" i="5"/>
  <c r="AY13" i="5"/>
  <c r="BH13" i="5"/>
  <c r="BA9" i="5"/>
  <c r="BG9" i="5" s="1"/>
  <c r="BA28" i="5"/>
  <c r="BG28" i="5" s="1"/>
  <c r="AP10" i="5"/>
  <c r="AQ10" i="5" s="1"/>
  <c r="AR10" i="5" s="1"/>
  <c r="AV10" i="5"/>
  <c r="BB10" i="5" s="1"/>
  <c r="BD10" i="5" s="1"/>
  <c r="BA34" i="5"/>
  <c r="BG34" i="5" s="1"/>
  <c r="BI10" i="5"/>
  <c r="AY10" i="5"/>
  <c r="BH10" i="5"/>
  <c r="BE10" i="5"/>
  <c r="BK10" i="5"/>
  <c r="BF10" i="5"/>
  <c r="BC10" i="5"/>
  <c r="AZ10" i="5"/>
  <c r="BJ10" i="5"/>
  <c r="BA25" i="5"/>
  <c r="BG25" i="5" s="1"/>
  <c r="BA29" i="5"/>
  <c r="BG29" i="5" s="1"/>
  <c r="BA26" i="5"/>
  <c r="BG26" i="5" s="1"/>
  <c r="BA35" i="5"/>
  <c r="BG35" i="5" s="1"/>
  <c r="D155" i="8"/>
  <c r="D156" i="8" s="1"/>
  <c r="D151" i="8"/>
  <c r="D152" i="8" s="1"/>
  <c r="S60" i="4"/>
  <c r="R61" i="4"/>
  <c r="R62" i="4"/>
  <c r="R63" i="4"/>
  <c r="N37" i="4"/>
  <c r="N40" i="4"/>
  <c r="C132" i="6"/>
  <c r="AY8" i="5"/>
  <c r="BA8" i="5" s="1"/>
  <c r="H53" i="4"/>
  <c r="I24" i="1"/>
  <c r="H54" i="4"/>
  <c r="D129" i="6"/>
  <c r="G108" i="9"/>
  <c r="E154" i="8"/>
  <c r="E150" i="8"/>
  <c r="E154" i="6"/>
  <c r="E156" i="6" s="1"/>
  <c r="E150" i="6"/>
  <c r="E152" i="6" s="1"/>
  <c r="E145" i="6"/>
  <c r="E145" i="8"/>
  <c r="D129" i="8"/>
  <c r="D7" i="7"/>
  <c r="E79" i="4"/>
  <c r="E128" i="8"/>
  <c r="E26" i="4"/>
  <c r="E128" i="6"/>
  <c r="E135" i="6"/>
  <c r="E127" i="6"/>
  <c r="E126" i="6"/>
  <c r="E135" i="8"/>
  <c r="E138" i="8" s="1"/>
  <c r="E127" i="8"/>
  <c r="E126" i="8"/>
  <c r="BA31" i="5"/>
  <c r="BG31" i="5" s="1"/>
  <c r="G19" i="4"/>
  <c r="G22" i="4" s="1"/>
  <c r="G137" i="6" s="1"/>
  <c r="H18" i="4"/>
  <c r="AP6" i="5"/>
  <c r="AQ6" i="5" s="1"/>
  <c r="AR6" i="5" s="1"/>
  <c r="BB6" i="5"/>
  <c r="G34" i="4"/>
  <c r="F35" i="4"/>
  <c r="H68" i="5"/>
  <c r="G69" i="5"/>
  <c r="G94" i="5" s="1"/>
  <c r="BA20" i="5"/>
  <c r="BG20" i="5" s="1"/>
  <c r="E98" i="9"/>
  <c r="E94" i="9"/>
  <c r="I120" i="8"/>
  <c r="H121" i="8"/>
  <c r="F25" i="4"/>
  <c r="F136" i="8" s="1"/>
  <c r="F28" i="4"/>
  <c r="F46" i="4"/>
  <c r="F47" i="4" s="1"/>
  <c r="F38" i="4"/>
  <c r="F41" i="4"/>
  <c r="BA32" i="5"/>
  <c r="BG32" i="5" s="1"/>
  <c r="AX36" i="5"/>
  <c r="BE6" i="5"/>
  <c r="BK6" i="5"/>
  <c r="BC6" i="5"/>
  <c r="BF6" i="5"/>
  <c r="AZ6" i="5"/>
  <c r="F68" i="4"/>
  <c r="F69" i="4"/>
  <c r="I81" i="9"/>
  <c r="H82" i="9"/>
  <c r="H106" i="9" s="1"/>
  <c r="BA22" i="5"/>
  <c r="BG22" i="5" s="1"/>
  <c r="BA14" i="5"/>
  <c r="BG14" i="5" s="1"/>
  <c r="D149" i="8"/>
  <c r="D149" i="6"/>
  <c r="D146" i="8"/>
  <c r="D147" i="8" s="1"/>
  <c r="D146" i="6"/>
  <c r="D147" i="6" s="1"/>
  <c r="H73" i="4"/>
  <c r="G74" i="4"/>
  <c r="E97" i="9"/>
  <c r="E99" i="9"/>
  <c r="E93" i="9"/>
  <c r="E95" i="9"/>
  <c r="E86" i="9"/>
  <c r="E87" i="9"/>
  <c r="C7" i="11"/>
  <c r="C82" i="4"/>
  <c r="D80" i="4"/>
  <c r="B148" i="6" l="1"/>
  <c r="I20" i="4"/>
  <c r="H24" i="4"/>
  <c r="H137" i="8" s="1"/>
  <c r="D100" i="9"/>
  <c r="D101" i="9" s="1"/>
  <c r="D104" i="9" s="1"/>
  <c r="F136" i="6"/>
  <c r="C132" i="8"/>
  <c r="G96" i="5"/>
  <c r="D138" i="8"/>
  <c r="D140" i="8" s="1"/>
  <c r="E138" i="6"/>
  <c r="C91" i="9"/>
  <c r="D91" i="9" s="1"/>
  <c r="J16" i="4"/>
  <c r="I27" i="4"/>
  <c r="H108" i="9"/>
  <c r="D140" i="6"/>
  <c r="B160" i="8"/>
  <c r="B166" i="8" s="1"/>
  <c r="B8" i="11" s="1"/>
  <c r="B10" i="11" s="1"/>
  <c r="C157" i="8"/>
  <c r="B160" i="6"/>
  <c r="C160" i="6" s="1"/>
  <c r="B148" i="8"/>
  <c r="BA12" i="5"/>
  <c r="BA17" i="5"/>
  <c r="BD7" i="5"/>
  <c r="BA18" i="5"/>
  <c r="BG18" i="5" s="1"/>
  <c r="BG17" i="5"/>
  <c r="BG12" i="5"/>
  <c r="BG21" i="5"/>
  <c r="BA7" i="5"/>
  <c r="BI36" i="5"/>
  <c r="B48" i="5" s="1"/>
  <c r="L120" i="6"/>
  <c r="K121" i="6"/>
  <c r="BA13" i="5"/>
  <c r="BG13" i="5" s="1"/>
  <c r="BH36" i="5"/>
  <c r="B47" i="5" s="1"/>
  <c r="BJ36" i="5"/>
  <c r="B49" i="5" s="1"/>
  <c r="BF36" i="5"/>
  <c r="BG8" i="5"/>
  <c r="AR36" i="5"/>
  <c r="BG30" i="5"/>
  <c r="BA10" i="5"/>
  <c r="BG10" i="5" s="1"/>
  <c r="BK36" i="5"/>
  <c r="B50" i="5" s="1"/>
  <c r="BE36" i="5"/>
  <c r="BD6" i="5"/>
  <c r="BD36" i="5" s="1"/>
  <c r="AY6" i="5"/>
  <c r="BA6" i="5" s="1"/>
  <c r="E155" i="8"/>
  <c r="E156" i="8" s="1"/>
  <c r="E151" i="8"/>
  <c r="E152" i="8" s="1"/>
  <c r="D132" i="6"/>
  <c r="T60" i="4"/>
  <c r="S63" i="4"/>
  <c r="S62" i="4"/>
  <c r="S61" i="4"/>
  <c r="O37" i="4"/>
  <c r="O40" i="4"/>
  <c r="I54" i="4"/>
  <c r="J24" i="1"/>
  <c r="I53" i="4"/>
  <c r="I73" i="4"/>
  <c r="H74" i="4"/>
  <c r="D7" i="11"/>
  <c r="D82" i="4"/>
  <c r="E80" i="4"/>
  <c r="E88" i="9"/>
  <c r="D157" i="6"/>
  <c r="D148" i="6"/>
  <c r="F98" i="9"/>
  <c r="F94" i="9"/>
  <c r="F26" i="4"/>
  <c r="F128" i="8"/>
  <c r="F128" i="6"/>
  <c r="F135" i="6"/>
  <c r="F126" i="6"/>
  <c r="F127" i="6"/>
  <c r="F127" i="8"/>
  <c r="F135" i="8"/>
  <c r="F138" i="8" s="1"/>
  <c r="F126" i="8"/>
  <c r="E96" i="9"/>
  <c r="G25" i="4"/>
  <c r="G136" i="8" s="1"/>
  <c r="G46" i="4"/>
  <c r="G47" i="4" s="1"/>
  <c r="G38" i="4"/>
  <c r="G86" i="5" s="1"/>
  <c r="G28" i="4"/>
  <c r="G41" i="4"/>
  <c r="F97" i="9"/>
  <c r="F99" i="9"/>
  <c r="F95" i="9"/>
  <c r="F93" i="9"/>
  <c r="F87" i="9"/>
  <c r="F86" i="9"/>
  <c r="E100" i="9"/>
  <c r="H69" i="5"/>
  <c r="H94" i="5" s="1"/>
  <c r="I68" i="5"/>
  <c r="F150" i="8"/>
  <c r="F154" i="8"/>
  <c r="F150" i="6"/>
  <c r="F152" i="6" s="1"/>
  <c r="F154" i="6"/>
  <c r="F156" i="6" s="1"/>
  <c r="F145" i="6"/>
  <c r="F145" i="8"/>
  <c r="E129" i="6"/>
  <c r="E7" i="7"/>
  <c r="F79" i="4"/>
  <c r="D157" i="8"/>
  <c r="D148" i="8"/>
  <c r="G69" i="4"/>
  <c r="G68" i="4"/>
  <c r="B86" i="5"/>
  <c r="E86" i="5"/>
  <c r="D86" i="5"/>
  <c r="C86" i="5"/>
  <c r="F86" i="5"/>
  <c r="H34" i="4"/>
  <c r="G35" i="4"/>
  <c r="D132" i="8"/>
  <c r="E129" i="8"/>
  <c r="I82" i="9"/>
  <c r="I106" i="9" s="1"/>
  <c r="J81" i="9"/>
  <c r="J120" i="8"/>
  <c r="I121" i="8"/>
  <c r="H19" i="4"/>
  <c r="H22" i="4" s="1"/>
  <c r="H137" i="6" s="1"/>
  <c r="I18" i="4"/>
  <c r="E149" i="8"/>
  <c r="E149" i="6"/>
  <c r="E146" i="8"/>
  <c r="E147" i="8" s="1"/>
  <c r="E146" i="6"/>
  <c r="E147" i="6" s="1"/>
  <c r="J20" i="4" l="1"/>
  <c r="I24" i="4"/>
  <c r="I137" i="8" s="1"/>
  <c r="H96" i="5"/>
  <c r="G136" i="6"/>
  <c r="E140" i="6"/>
  <c r="F138" i="6"/>
  <c r="C110" i="9"/>
  <c r="C9" i="11" s="1"/>
  <c r="K16" i="4"/>
  <c r="J27" i="4"/>
  <c r="I108" i="9"/>
  <c r="C160" i="8"/>
  <c r="C166" i="8" s="1"/>
  <c r="C8" i="11" s="1"/>
  <c r="B166" i="6"/>
  <c r="B8" i="7" s="1"/>
  <c r="E140" i="8"/>
  <c r="C166" i="6"/>
  <c r="C8" i="7" s="1"/>
  <c r="D160" i="6"/>
  <c r="BG7" i="5"/>
  <c r="E91" i="9"/>
  <c r="BG6" i="5"/>
  <c r="L121" i="6"/>
  <c r="M120" i="6"/>
  <c r="B41" i="5"/>
  <c r="C74" i="5" s="1"/>
  <c r="B46" i="5"/>
  <c r="B53" i="5" s="1"/>
  <c r="E132" i="6"/>
  <c r="B51" i="5"/>
  <c r="E85" i="5" s="1"/>
  <c r="F155" i="8"/>
  <c r="F156" i="8" s="1"/>
  <c r="F151" i="8"/>
  <c r="F152" i="8" s="1"/>
  <c r="U60" i="4"/>
  <c r="T62" i="4"/>
  <c r="T63" i="4"/>
  <c r="T61" i="4"/>
  <c r="P40" i="4"/>
  <c r="P37" i="4"/>
  <c r="J54" i="4"/>
  <c r="K24" i="1"/>
  <c r="J53" i="4"/>
  <c r="F129" i="6"/>
  <c r="E101" i="9"/>
  <c r="E104" i="9" s="1"/>
  <c r="F100" i="9"/>
  <c r="F129" i="8"/>
  <c r="E148" i="8"/>
  <c r="E157" i="8"/>
  <c r="K81" i="9"/>
  <c r="J82" i="9"/>
  <c r="J106" i="9" s="1"/>
  <c r="E132" i="8"/>
  <c r="I69" i="5"/>
  <c r="I94" i="5" s="1"/>
  <c r="I96" i="5" s="1"/>
  <c r="J68" i="5"/>
  <c r="F88" i="9"/>
  <c r="G97" i="9"/>
  <c r="G99" i="9"/>
  <c r="G93" i="9"/>
  <c r="G95" i="9"/>
  <c r="G86" i="9"/>
  <c r="G87" i="9"/>
  <c r="F96" i="9"/>
  <c r="E7" i="11"/>
  <c r="E82" i="4"/>
  <c r="F80" i="4"/>
  <c r="H68" i="4"/>
  <c r="H69" i="4"/>
  <c r="J121" i="8"/>
  <c r="K120" i="8"/>
  <c r="E157" i="6"/>
  <c r="E148" i="6"/>
  <c r="I74" i="4"/>
  <c r="J73" i="4"/>
  <c r="G154" i="8"/>
  <c r="G150" i="8"/>
  <c r="G154" i="6"/>
  <c r="G156" i="6" s="1"/>
  <c r="G150" i="6"/>
  <c r="G152" i="6" s="1"/>
  <c r="G145" i="6"/>
  <c r="G145" i="8"/>
  <c r="I19" i="4"/>
  <c r="I22" i="4" s="1"/>
  <c r="I137" i="6" s="1"/>
  <c r="J18" i="4"/>
  <c r="BA36" i="5"/>
  <c r="B40" i="5" s="1"/>
  <c r="I34" i="4"/>
  <c r="H35" i="4"/>
  <c r="F7" i="7"/>
  <c r="G79" i="4"/>
  <c r="G98" i="9"/>
  <c r="G94" i="9"/>
  <c r="G128" i="6"/>
  <c r="G128" i="8"/>
  <c r="G26" i="4"/>
  <c r="G135" i="6"/>
  <c r="G135" i="8"/>
  <c r="G138" i="8" s="1"/>
  <c r="G127" i="8"/>
  <c r="G126" i="8"/>
  <c r="G126" i="6"/>
  <c r="G127" i="6"/>
  <c r="H25" i="4"/>
  <c r="H136" i="8" s="1"/>
  <c r="H28" i="4"/>
  <c r="H46" i="4"/>
  <c r="H47" i="4" s="1"/>
  <c r="H38" i="4"/>
  <c r="H41" i="4"/>
  <c r="D85" i="5"/>
  <c r="F149" i="8"/>
  <c r="F149" i="6"/>
  <c r="F146" i="6"/>
  <c r="F147" i="6" s="1"/>
  <c r="F146" i="8"/>
  <c r="F147" i="8" s="1"/>
  <c r="D110" i="9"/>
  <c r="D9" i="11" s="1"/>
  <c r="K20" i="4" l="1"/>
  <c r="J24" i="4"/>
  <c r="J137" i="8" s="1"/>
  <c r="C88" i="5"/>
  <c r="J108" i="9"/>
  <c r="C10" i="11"/>
  <c r="H136" i="6"/>
  <c r="D160" i="8"/>
  <c r="D166" i="8" s="1"/>
  <c r="D8" i="11" s="1"/>
  <c r="D10" i="11" s="1"/>
  <c r="F140" i="6"/>
  <c r="G138" i="6"/>
  <c r="L16" i="4"/>
  <c r="K27" i="4"/>
  <c r="F140" i="8"/>
  <c r="F87" i="5"/>
  <c r="BG36" i="5"/>
  <c r="F91" i="9"/>
  <c r="E87" i="5"/>
  <c r="C85" i="5"/>
  <c r="D87" i="5"/>
  <c r="D74" i="5"/>
  <c r="F74" i="5"/>
  <c r="E83" i="5"/>
  <c r="G82" i="5"/>
  <c r="C82" i="5"/>
  <c r="G81" i="5"/>
  <c r="F83" i="5"/>
  <c r="B81" i="5"/>
  <c r="G74" i="5"/>
  <c r="E74" i="5"/>
  <c r="C83" i="5"/>
  <c r="H82" i="5"/>
  <c r="H83" i="5"/>
  <c r="B82" i="5"/>
  <c r="F81" i="5"/>
  <c r="B74" i="5"/>
  <c r="F82" i="5"/>
  <c r="E81" i="5"/>
  <c r="D81" i="5"/>
  <c r="M121" i="6"/>
  <c r="N120" i="6"/>
  <c r="C81" i="5"/>
  <c r="B88" i="5"/>
  <c r="C87" i="5"/>
  <c r="C89" i="5" s="1"/>
  <c r="F85" i="5"/>
  <c r="B87" i="5"/>
  <c r="G88" i="5"/>
  <c r="D88" i="5"/>
  <c r="D89" i="5" s="1"/>
  <c r="F88" i="5"/>
  <c r="G85" i="5"/>
  <c r="E88" i="5"/>
  <c r="B85" i="5"/>
  <c r="G87" i="5"/>
  <c r="D82" i="5"/>
  <c r="E82" i="5"/>
  <c r="E84" i="5" s="1"/>
  <c r="G83" i="5"/>
  <c r="G84" i="5" s="1"/>
  <c r="B83" i="5"/>
  <c r="D83" i="5"/>
  <c r="F132" i="6"/>
  <c r="G100" i="9"/>
  <c r="G155" i="8"/>
  <c r="G156" i="8" s="1"/>
  <c r="G151" i="8"/>
  <c r="G152" i="8" s="1"/>
  <c r="V60" i="4"/>
  <c r="U61" i="4"/>
  <c r="U63" i="4"/>
  <c r="U62" i="4"/>
  <c r="H85" i="5"/>
  <c r="H88" i="5"/>
  <c r="F101" i="9"/>
  <c r="F104" i="9" s="1"/>
  <c r="H87" i="5"/>
  <c r="G96" i="9"/>
  <c r="Q37" i="4"/>
  <c r="Q40" i="4"/>
  <c r="L24" i="1"/>
  <c r="K53" i="4"/>
  <c r="K54" i="4"/>
  <c r="G88" i="9"/>
  <c r="F157" i="8"/>
  <c r="F148" i="8"/>
  <c r="F157" i="6"/>
  <c r="F148" i="6"/>
  <c r="H97" i="9"/>
  <c r="H99" i="9"/>
  <c r="H93" i="9"/>
  <c r="H95" i="9"/>
  <c r="H86" i="9"/>
  <c r="H87" i="9"/>
  <c r="H86" i="5"/>
  <c r="G7" i="7"/>
  <c r="H79" i="4"/>
  <c r="I25" i="4"/>
  <c r="I136" i="8" s="1"/>
  <c r="I46" i="4"/>
  <c r="I47" i="4" s="1"/>
  <c r="I38" i="4"/>
  <c r="I73" i="5" s="1"/>
  <c r="I28" i="4"/>
  <c r="I41" i="4"/>
  <c r="I69" i="4"/>
  <c r="I68" i="4"/>
  <c r="G149" i="8"/>
  <c r="G149" i="6"/>
  <c r="G146" i="6"/>
  <c r="G147" i="6" s="1"/>
  <c r="G146" i="8"/>
  <c r="G147" i="8" s="1"/>
  <c r="H81" i="5"/>
  <c r="F132" i="8"/>
  <c r="E160" i="6"/>
  <c r="D166" i="6"/>
  <c r="D8" i="7" s="1"/>
  <c r="G129" i="6"/>
  <c r="H154" i="8"/>
  <c r="H150" i="8"/>
  <c r="H154" i="6"/>
  <c r="H156" i="6" s="1"/>
  <c r="H150" i="6"/>
  <c r="H152" i="6" s="1"/>
  <c r="H145" i="6"/>
  <c r="H145" i="8"/>
  <c r="B42" i="5"/>
  <c r="E73" i="5"/>
  <c r="D73" i="5"/>
  <c r="B73" i="5"/>
  <c r="G73" i="5"/>
  <c r="C73" i="5"/>
  <c r="C75" i="5" s="1"/>
  <c r="F73" i="5"/>
  <c r="H73" i="5"/>
  <c r="H74" i="5"/>
  <c r="H98" i="9"/>
  <c r="H94" i="9"/>
  <c r="H128" i="8"/>
  <c r="H26" i="4"/>
  <c r="H128" i="6"/>
  <c r="H126" i="6"/>
  <c r="H127" i="8"/>
  <c r="H126" i="8"/>
  <c r="H135" i="6"/>
  <c r="H127" i="6"/>
  <c r="H135" i="8"/>
  <c r="H138" i="8" s="1"/>
  <c r="G129" i="8"/>
  <c r="J34" i="4"/>
  <c r="I35" i="4"/>
  <c r="J19" i="4"/>
  <c r="J22" i="4" s="1"/>
  <c r="J137" i="6" s="1"/>
  <c r="K18" i="4"/>
  <c r="K73" i="4"/>
  <c r="J74" i="4"/>
  <c r="L120" i="8"/>
  <c r="K121" i="8"/>
  <c r="F7" i="11"/>
  <c r="F82" i="4"/>
  <c r="G80" i="4"/>
  <c r="J69" i="5"/>
  <c r="J94" i="5" s="1"/>
  <c r="J96" i="5" s="1"/>
  <c r="K68" i="5"/>
  <c r="L81" i="9"/>
  <c r="K82" i="9"/>
  <c r="K106" i="9" s="1"/>
  <c r="K108" i="9" s="1"/>
  <c r="E110" i="9"/>
  <c r="E9" i="11" s="1"/>
  <c r="L20" i="4" l="1"/>
  <c r="K24" i="4"/>
  <c r="K137" i="8" s="1"/>
  <c r="I136" i="6"/>
  <c r="E160" i="8"/>
  <c r="F160" i="8" s="1"/>
  <c r="F166" i="8" s="1"/>
  <c r="F8" i="11" s="1"/>
  <c r="G140" i="6"/>
  <c r="H138" i="6"/>
  <c r="G140" i="8"/>
  <c r="M16" i="4"/>
  <c r="L27" i="4"/>
  <c r="G101" i="9"/>
  <c r="G104" i="9" s="1"/>
  <c r="D75" i="5"/>
  <c r="E89" i="5"/>
  <c r="E90" i="5" s="1"/>
  <c r="F89" i="5"/>
  <c r="B89" i="5"/>
  <c r="H84" i="5"/>
  <c r="G132" i="6"/>
  <c r="H96" i="9"/>
  <c r="G89" i="5"/>
  <c r="G90" i="5" s="1"/>
  <c r="F84" i="5"/>
  <c r="C84" i="5"/>
  <c r="C90" i="5" s="1"/>
  <c r="G91" i="9"/>
  <c r="F75" i="5"/>
  <c r="B84" i="5"/>
  <c r="E75" i="5"/>
  <c r="G75" i="5"/>
  <c r="N121" i="6"/>
  <c r="O120" i="6"/>
  <c r="D84" i="5"/>
  <c r="D90" i="5" s="1"/>
  <c r="H155" i="8"/>
  <c r="H156" i="8" s="1"/>
  <c r="H151" i="8"/>
  <c r="H152" i="8" s="1"/>
  <c r="W60" i="4"/>
  <c r="V61" i="4"/>
  <c r="V62" i="4"/>
  <c r="V63" i="4"/>
  <c r="H89" i="5"/>
  <c r="R37" i="4"/>
  <c r="R40" i="4"/>
  <c r="H100" i="9"/>
  <c r="M24" i="1"/>
  <c r="L53" i="4"/>
  <c r="L54" i="4"/>
  <c r="H129" i="6"/>
  <c r="H129" i="8"/>
  <c r="G157" i="8"/>
  <c r="G148" i="8"/>
  <c r="K34" i="4"/>
  <c r="J35" i="4"/>
  <c r="H149" i="8"/>
  <c r="H149" i="6"/>
  <c r="H146" i="8"/>
  <c r="H147" i="8" s="1"/>
  <c r="H146" i="6"/>
  <c r="H147" i="6" s="1"/>
  <c r="M81" i="9"/>
  <c r="L82" i="9"/>
  <c r="L106" i="9" s="1"/>
  <c r="L108" i="9" s="1"/>
  <c r="K19" i="4"/>
  <c r="K22" i="4" s="1"/>
  <c r="K137" i="6" s="1"/>
  <c r="L18" i="4"/>
  <c r="G157" i="6"/>
  <c r="G148" i="6"/>
  <c r="H75" i="5"/>
  <c r="I97" i="9"/>
  <c r="I99" i="9"/>
  <c r="I95" i="9"/>
  <c r="I93" i="9"/>
  <c r="I86" i="9"/>
  <c r="I87" i="9"/>
  <c r="I86" i="5"/>
  <c r="I85" i="5"/>
  <c r="I81" i="5"/>
  <c r="I74" i="5"/>
  <c r="I75" i="5" s="1"/>
  <c r="I83" i="5"/>
  <c r="I88" i="5"/>
  <c r="L68" i="5"/>
  <c r="K69" i="5"/>
  <c r="K94" i="5" s="1"/>
  <c r="K96" i="5" s="1"/>
  <c r="G7" i="11"/>
  <c r="G82" i="4"/>
  <c r="H80" i="4"/>
  <c r="J25" i="4"/>
  <c r="J136" i="8" s="1"/>
  <c r="J38" i="4"/>
  <c r="J46" i="4"/>
  <c r="J47" i="4" s="1"/>
  <c r="J28" i="4"/>
  <c r="J41" i="4"/>
  <c r="E166" i="6"/>
  <c r="E8" i="7" s="1"/>
  <c r="F160" i="6"/>
  <c r="M120" i="8"/>
  <c r="L121" i="8"/>
  <c r="J68" i="4"/>
  <c r="J69" i="4"/>
  <c r="I150" i="8"/>
  <c r="I154" i="8"/>
  <c r="I150" i="6"/>
  <c r="I152" i="6" s="1"/>
  <c r="I154" i="6"/>
  <c r="I156" i="6" s="1"/>
  <c r="I145" i="8"/>
  <c r="I145" i="6"/>
  <c r="I98" i="9"/>
  <c r="I94" i="9"/>
  <c r="I82" i="5"/>
  <c r="I87" i="5"/>
  <c r="I128" i="8"/>
  <c r="I26" i="4"/>
  <c r="I128" i="6"/>
  <c r="I126" i="6"/>
  <c r="I127" i="8"/>
  <c r="I127" i="6"/>
  <c r="I126" i="8"/>
  <c r="I135" i="6"/>
  <c r="I135" i="8"/>
  <c r="I138" i="8" s="1"/>
  <c r="H88" i="9"/>
  <c r="L73" i="4"/>
  <c r="K74" i="4"/>
  <c r="B75" i="5"/>
  <c r="B78" i="5" s="1"/>
  <c r="G132" i="8"/>
  <c r="H7" i="7"/>
  <c r="I79" i="4"/>
  <c r="F110" i="9"/>
  <c r="F9" i="11" s="1"/>
  <c r="H132" i="6" l="1"/>
  <c r="M20" i="4"/>
  <c r="L24" i="4"/>
  <c r="L137" i="8" s="1"/>
  <c r="B90" i="5"/>
  <c r="B92" i="5" s="1"/>
  <c r="C92" i="5" s="1"/>
  <c r="D92" i="5" s="1"/>
  <c r="E92" i="5" s="1"/>
  <c r="E166" i="8"/>
  <c r="E8" i="11" s="1"/>
  <c r="E10" i="11" s="1"/>
  <c r="J136" i="6"/>
  <c r="H140" i="6"/>
  <c r="I138" i="6"/>
  <c r="H140" i="8"/>
  <c r="H90" i="5"/>
  <c r="N16" i="4"/>
  <c r="M27" i="4"/>
  <c r="H101" i="9"/>
  <c r="H104" i="9" s="1"/>
  <c r="F90" i="5"/>
  <c r="H91" i="9"/>
  <c r="P120" i="6"/>
  <c r="O121" i="6"/>
  <c r="I155" i="8"/>
  <c r="I156" i="8" s="1"/>
  <c r="I151" i="8"/>
  <c r="I152" i="8" s="1"/>
  <c r="I96" i="9"/>
  <c r="X60" i="4"/>
  <c r="W62" i="4"/>
  <c r="W63" i="4"/>
  <c r="W61" i="4"/>
  <c r="I100" i="9"/>
  <c r="G160" i="8"/>
  <c r="G166" i="8" s="1"/>
  <c r="G8" i="11" s="1"/>
  <c r="S37" i="4"/>
  <c r="S40" i="4"/>
  <c r="I89" i="5"/>
  <c r="I84" i="5"/>
  <c r="M54" i="4"/>
  <c r="N24" i="1"/>
  <c r="M53" i="4"/>
  <c r="I129" i="8"/>
  <c r="F10" i="11"/>
  <c r="J98" i="9"/>
  <c r="J94" i="9"/>
  <c r="J82" i="5"/>
  <c r="J87" i="5"/>
  <c r="J128" i="8"/>
  <c r="J128" i="6"/>
  <c r="J26" i="4"/>
  <c r="J127" i="6"/>
  <c r="J135" i="6"/>
  <c r="J126" i="6"/>
  <c r="J135" i="8"/>
  <c r="J138" i="8" s="1"/>
  <c r="J126" i="8"/>
  <c r="J127" i="8"/>
  <c r="J154" i="8"/>
  <c r="J150" i="8"/>
  <c r="J150" i="6"/>
  <c r="J152" i="6" s="1"/>
  <c r="J154" i="6"/>
  <c r="J156" i="6" s="1"/>
  <c r="J145" i="6"/>
  <c r="J145" i="8"/>
  <c r="C78" i="5"/>
  <c r="G160" i="6"/>
  <c r="F166" i="6"/>
  <c r="F8" i="7" s="1"/>
  <c r="H7" i="11"/>
  <c r="H82" i="4"/>
  <c r="I80" i="4"/>
  <c r="L69" i="5"/>
  <c r="L94" i="5" s="1"/>
  <c r="L96" i="5" s="1"/>
  <c r="M68" i="5"/>
  <c r="M82" i="9"/>
  <c r="M106" i="9" s="1"/>
  <c r="M108" i="9" s="1"/>
  <c r="N81" i="9"/>
  <c r="L34" i="4"/>
  <c r="K35" i="4"/>
  <c r="H132" i="8"/>
  <c r="K69" i="4"/>
  <c r="K68" i="4"/>
  <c r="I129" i="6"/>
  <c r="I132" i="6" s="1"/>
  <c r="I149" i="8"/>
  <c r="I149" i="6"/>
  <c r="I146" i="8"/>
  <c r="I147" i="8" s="1"/>
  <c r="I146" i="6"/>
  <c r="I147" i="6" s="1"/>
  <c r="N120" i="8"/>
  <c r="M121" i="8"/>
  <c r="I88" i="9"/>
  <c r="L19" i="4"/>
  <c r="L22" i="4" s="1"/>
  <c r="L137" i="6" s="1"/>
  <c r="M18" i="4"/>
  <c r="I7" i="7"/>
  <c r="J79" i="4"/>
  <c r="H157" i="8"/>
  <c r="H148" i="8"/>
  <c r="M73" i="4"/>
  <c r="L74" i="4"/>
  <c r="J97" i="9"/>
  <c r="J99" i="9"/>
  <c r="J93" i="9"/>
  <c r="J95" i="9"/>
  <c r="J86" i="9"/>
  <c r="J87" i="9"/>
  <c r="J86" i="5"/>
  <c r="J74" i="5"/>
  <c r="J81" i="5"/>
  <c r="J85" i="5"/>
  <c r="J88" i="5"/>
  <c r="J83" i="5"/>
  <c r="J73" i="5"/>
  <c r="H148" i="6"/>
  <c r="H157" i="6"/>
  <c r="K25" i="4"/>
  <c r="K136" i="8" s="1"/>
  <c r="K41" i="4"/>
  <c r="K28" i="4"/>
  <c r="K46" i="4"/>
  <c r="K47" i="4" s="1"/>
  <c r="K38" i="4"/>
  <c r="G110" i="9"/>
  <c r="G9" i="11" s="1"/>
  <c r="N20" i="4" l="1"/>
  <c r="M24" i="4"/>
  <c r="M137" i="8" s="1"/>
  <c r="K136" i="6"/>
  <c r="I140" i="6"/>
  <c r="J138" i="6"/>
  <c r="I140" i="8"/>
  <c r="I101" i="9"/>
  <c r="O16" i="4"/>
  <c r="N27" i="4"/>
  <c r="B98" i="5"/>
  <c r="B9" i="7" s="1"/>
  <c r="B10" i="7" s="1"/>
  <c r="I91" i="9"/>
  <c r="F92" i="5"/>
  <c r="G92" i="5" s="1"/>
  <c r="H92" i="5" s="1"/>
  <c r="P121" i="6"/>
  <c r="Q120" i="6"/>
  <c r="J155" i="8"/>
  <c r="J156" i="8" s="1"/>
  <c r="J151" i="8"/>
  <c r="J152" i="8" s="1"/>
  <c r="Y60" i="4"/>
  <c r="X62" i="4"/>
  <c r="X63" i="4"/>
  <c r="X61" i="4"/>
  <c r="H160" i="8"/>
  <c r="H166" i="8" s="1"/>
  <c r="H8" i="11" s="1"/>
  <c r="I90" i="5"/>
  <c r="T37" i="4"/>
  <c r="T40" i="4"/>
  <c r="N54" i="4"/>
  <c r="O24" i="1"/>
  <c r="N53" i="4"/>
  <c r="J129" i="6"/>
  <c r="J132" i="6" s="1"/>
  <c r="G10" i="11"/>
  <c r="I148" i="6"/>
  <c r="I157" i="6"/>
  <c r="I157" i="8"/>
  <c r="I148" i="8"/>
  <c r="K97" i="9"/>
  <c r="K99" i="9"/>
  <c r="K93" i="9"/>
  <c r="K95" i="9"/>
  <c r="K86" i="9"/>
  <c r="K87" i="9"/>
  <c r="K86" i="5"/>
  <c r="K88" i="5"/>
  <c r="K81" i="5"/>
  <c r="K85" i="5"/>
  <c r="K83" i="5"/>
  <c r="K74" i="5"/>
  <c r="K73" i="5"/>
  <c r="K128" i="8"/>
  <c r="K26" i="4"/>
  <c r="K128" i="6"/>
  <c r="K127" i="8"/>
  <c r="K135" i="6"/>
  <c r="K126" i="6"/>
  <c r="K127" i="6"/>
  <c r="K135" i="8"/>
  <c r="K138" i="8" s="1"/>
  <c r="K126" i="8"/>
  <c r="G166" i="6"/>
  <c r="G8" i="7" s="1"/>
  <c r="H160" i="6"/>
  <c r="J75" i="5"/>
  <c r="J88" i="9"/>
  <c r="M19" i="4"/>
  <c r="M22" i="4" s="1"/>
  <c r="M137" i="6" s="1"/>
  <c r="N18" i="4"/>
  <c r="K154" i="8"/>
  <c r="K150" i="8"/>
  <c r="K154" i="6"/>
  <c r="K156" i="6" s="1"/>
  <c r="K150" i="6"/>
  <c r="K152" i="6" s="1"/>
  <c r="K145" i="6"/>
  <c r="K145" i="8"/>
  <c r="J129" i="8"/>
  <c r="J96" i="9"/>
  <c r="N121" i="8"/>
  <c r="O120" i="8"/>
  <c r="M69" i="5"/>
  <c r="M94" i="5" s="1"/>
  <c r="M96" i="5" s="1"/>
  <c r="N68" i="5"/>
  <c r="J100" i="9"/>
  <c r="L25" i="4"/>
  <c r="L136" i="8" s="1"/>
  <c r="L28" i="4"/>
  <c r="L38" i="4"/>
  <c r="L46" i="4"/>
  <c r="L47" i="4" s="1"/>
  <c r="L41" i="4"/>
  <c r="M34" i="4"/>
  <c r="L35" i="4"/>
  <c r="K98" i="9"/>
  <c r="K94" i="9"/>
  <c r="K82" i="5"/>
  <c r="K87" i="5"/>
  <c r="L69" i="4"/>
  <c r="L68" i="4"/>
  <c r="J7" i="7"/>
  <c r="K79" i="4"/>
  <c r="N82" i="9"/>
  <c r="N106" i="9" s="1"/>
  <c r="N108" i="9" s="1"/>
  <c r="O81" i="9"/>
  <c r="D78" i="5"/>
  <c r="C98" i="5"/>
  <c r="C9" i="7" s="1"/>
  <c r="C10" i="7" s="1"/>
  <c r="J89" i="5"/>
  <c r="M74" i="4"/>
  <c r="N73" i="4"/>
  <c r="I132" i="8"/>
  <c r="I7" i="11"/>
  <c r="I82" i="4"/>
  <c r="J80" i="4"/>
  <c r="J149" i="8"/>
  <c r="J149" i="6"/>
  <c r="J146" i="8"/>
  <c r="J147" i="8" s="1"/>
  <c r="J146" i="6"/>
  <c r="J147" i="6" s="1"/>
  <c r="J84" i="5"/>
  <c r="H110" i="9"/>
  <c r="H9" i="11" s="1"/>
  <c r="I104" i="9"/>
  <c r="O20" i="4" l="1"/>
  <c r="N24" i="4"/>
  <c r="N137" i="8" s="1"/>
  <c r="L136" i="6"/>
  <c r="J140" i="8"/>
  <c r="J140" i="6"/>
  <c r="K138" i="6"/>
  <c r="K96" i="9"/>
  <c r="J91" i="9"/>
  <c r="P16" i="4"/>
  <c r="O27" i="4"/>
  <c r="I92" i="5"/>
  <c r="K84" i="5"/>
  <c r="K89" i="5"/>
  <c r="R120" i="6"/>
  <c r="Q121" i="6"/>
  <c r="K100" i="9"/>
  <c r="K155" i="8"/>
  <c r="K156" i="8" s="1"/>
  <c r="K151" i="8"/>
  <c r="K152" i="8" s="1"/>
  <c r="J90" i="5"/>
  <c r="J92" i="5" s="1"/>
  <c r="Z60" i="4"/>
  <c r="Y63" i="4"/>
  <c r="Y61" i="4"/>
  <c r="Y62" i="4"/>
  <c r="I160" i="8"/>
  <c r="I166" i="8" s="1"/>
  <c r="I8" i="11" s="1"/>
  <c r="U40" i="4"/>
  <c r="U37" i="4"/>
  <c r="K75" i="5"/>
  <c r="P24" i="1"/>
  <c r="O53" i="4"/>
  <c r="O54" i="4"/>
  <c r="K129" i="6"/>
  <c r="K132" i="6" s="1"/>
  <c r="K88" i="9"/>
  <c r="H10" i="11"/>
  <c r="J148" i="6"/>
  <c r="J157" i="6"/>
  <c r="J157" i="8"/>
  <c r="J148" i="8"/>
  <c r="J7" i="11"/>
  <c r="J82" i="4"/>
  <c r="K80" i="4"/>
  <c r="J132" i="8"/>
  <c r="O73" i="4"/>
  <c r="N74" i="4"/>
  <c r="K7" i="7"/>
  <c r="L79" i="4"/>
  <c r="L154" i="8"/>
  <c r="L150" i="8"/>
  <c r="L150" i="6"/>
  <c r="L152" i="6" s="1"/>
  <c r="L154" i="6"/>
  <c r="L156" i="6" s="1"/>
  <c r="L145" i="6"/>
  <c r="L145" i="8"/>
  <c r="L97" i="9"/>
  <c r="L99" i="9"/>
  <c r="L93" i="9"/>
  <c r="L95" i="9"/>
  <c r="L86" i="9"/>
  <c r="L87" i="9"/>
  <c r="L86" i="5"/>
  <c r="L74" i="5"/>
  <c r="L81" i="5"/>
  <c r="L85" i="5"/>
  <c r="L83" i="5"/>
  <c r="L88" i="5"/>
  <c r="L73" i="5"/>
  <c r="J101" i="9"/>
  <c r="J104" i="9" s="1"/>
  <c r="H166" i="6"/>
  <c r="H8" i="7" s="1"/>
  <c r="I160" i="6"/>
  <c r="E78" i="5"/>
  <c r="D98" i="5"/>
  <c r="D9" i="7" s="1"/>
  <c r="D10" i="7" s="1"/>
  <c r="N34" i="4"/>
  <c r="M35" i="4"/>
  <c r="P120" i="8"/>
  <c r="O121" i="8"/>
  <c r="M69" i="4"/>
  <c r="M68" i="4"/>
  <c r="P81" i="9"/>
  <c r="O82" i="9"/>
  <c r="O106" i="9" s="1"/>
  <c r="O108" i="9" s="1"/>
  <c r="L98" i="9"/>
  <c r="L94" i="9"/>
  <c r="L82" i="5"/>
  <c r="L87" i="5"/>
  <c r="L128" i="6"/>
  <c r="L128" i="8"/>
  <c r="L26" i="4"/>
  <c r="L127" i="8"/>
  <c r="L126" i="8"/>
  <c r="L127" i="6"/>
  <c r="L135" i="8"/>
  <c r="L138" i="8" s="1"/>
  <c r="L135" i="6"/>
  <c r="L126" i="6"/>
  <c r="O18" i="4"/>
  <c r="N19" i="4"/>
  <c r="N22" i="4" s="1"/>
  <c r="N137" i="6" s="1"/>
  <c r="K129" i="8"/>
  <c r="N69" i="5"/>
  <c r="N94" i="5" s="1"/>
  <c r="N96" i="5" s="1"/>
  <c r="O68" i="5"/>
  <c r="M25" i="4"/>
  <c r="M136" i="8" s="1"/>
  <c r="M28" i="4"/>
  <c r="M46" i="4"/>
  <c r="M47" i="4" s="1"/>
  <c r="M38" i="4"/>
  <c r="M41" i="4"/>
  <c r="K149" i="8"/>
  <c r="K149" i="6"/>
  <c r="K146" i="6"/>
  <c r="K147" i="6" s="1"/>
  <c r="K146" i="8"/>
  <c r="K147" i="8" s="1"/>
  <c r="I110" i="9"/>
  <c r="I9" i="11" s="1"/>
  <c r="P20" i="4" l="1"/>
  <c r="O24" i="4"/>
  <c r="O137" i="8" s="1"/>
  <c r="M136" i="6"/>
  <c r="K101" i="9"/>
  <c r="K104" i="9" s="1"/>
  <c r="K140" i="6"/>
  <c r="K140" i="8"/>
  <c r="L140" i="8" s="1"/>
  <c r="L138" i="6"/>
  <c r="K91" i="9"/>
  <c r="Q16" i="4"/>
  <c r="P27" i="4"/>
  <c r="L89" i="5"/>
  <c r="K90" i="5"/>
  <c r="K92" i="5" s="1"/>
  <c r="L96" i="9"/>
  <c r="S120" i="6"/>
  <c r="R121" i="6"/>
  <c r="L100" i="9"/>
  <c r="L155" i="8"/>
  <c r="L156" i="8" s="1"/>
  <c r="L151" i="8"/>
  <c r="L152" i="8" s="1"/>
  <c r="AA60" i="4"/>
  <c r="Z63" i="4"/>
  <c r="Z61" i="4"/>
  <c r="Z62" i="4"/>
  <c r="J160" i="8"/>
  <c r="J166" i="8" s="1"/>
  <c r="J8" i="11" s="1"/>
  <c r="V37" i="4"/>
  <c r="V40" i="4"/>
  <c r="L84" i="5"/>
  <c r="Q24" i="1"/>
  <c r="P53" i="4"/>
  <c r="P54" i="4"/>
  <c r="I10" i="11"/>
  <c r="K157" i="8"/>
  <c r="K148" i="8"/>
  <c r="K148" i="6"/>
  <c r="K157" i="6"/>
  <c r="N25" i="4"/>
  <c r="N136" i="8" s="1"/>
  <c r="N46" i="4"/>
  <c r="N47" i="4" s="1"/>
  <c r="N38" i="4"/>
  <c r="N28" i="4"/>
  <c r="N41" i="4"/>
  <c r="L129" i="6"/>
  <c r="L132" i="6" s="1"/>
  <c r="L129" i="8"/>
  <c r="L149" i="8"/>
  <c r="L149" i="6"/>
  <c r="L146" i="6"/>
  <c r="L147" i="6" s="1"/>
  <c r="L146" i="8"/>
  <c r="L147" i="8" s="1"/>
  <c r="Q120" i="8"/>
  <c r="P121" i="8"/>
  <c r="F78" i="5"/>
  <c r="E98" i="5"/>
  <c r="E9" i="7" s="1"/>
  <c r="E10" i="7" s="1"/>
  <c r="P73" i="4"/>
  <c r="O74" i="4"/>
  <c r="O19" i="4"/>
  <c r="O22" i="4" s="1"/>
  <c r="O137" i="6" s="1"/>
  <c r="P18" i="4"/>
  <c r="Q81" i="9"/>
  <c r="P82" i="9"/>
  <c r="P106" i="9" s="1"/>
  <c r="P108" i="9" s="1"/>
  <c r="M154" i="8"/>
  <c r="M150" i="8"/>
  <c r="M154" i="6"/>
  <c r="M156" i="6" s="1"/>
  <c r="M150" i="6"/>
  <c r="M152" i="6" s="1"/>
  <c r="M145" i="6"/>
  <c r="M145" i="8"/>
  <c r="J160" i="6"/>
  <c r="I166" i="6"/>
  <c r="I8" i="7" s="1"/>
  <c r="L7" i="7"/>
  <c r="M79" i="4"/>
  <c r="M98" i="9"/>
  <c r="M94" i="9"/>
  <c r="M82" i="5"/>
  <c r="M87" i="5"/>
  <c r="M128" i="8"/>
  <c r="M26" i="4"/>
  <c r="M128" i="6"/>
  <c r="M126" i="6"/>
  <c r="M127" i="6"/>
  <c r="M135" i="8"/>
  <c r="M138" i="8" s="1"/>
  <c r="M135" i="6"/>
  <c r="M126" i="8"/>
  <c r="M127" i="8"/>
  <c r="O34" i="4"/>
  <c r="N35" i="4"/>
  <c r="L75" i="5"/>
  <c r="L88" i="9"/>
  <c r="K132" i="8"/>
  <c r="M97" i="9"/>
  <c r="M99" i="9"/>
  <c r="M93" i="9"/>
  <c r="M95" i="9"/>
  <c r="M86" i="9"/>
  <c r="M87" i="9"/>
  <c r="M86" i="5"/>
  <c r="M81" i="5"/>
  <c r="M88" i="5"/>
  <c r="M74" i="5"/>
  <c r="M85" i="5"/>
  <c r="M83" i="5"/>
  <c r="M73" i="5"/>
  <c r="P68" i="5"/>
  <c r="O69" i="5"/>
  <c r="O94" i="5" s="1"/>
  <c r="O96" i="5" s="1"/>
  <c r="N69" i="4"/>
  <c r="N68" i="4"/>
  <c r="K7" i="11"/>
  <c r="L80" i="4"/>
  <c r="K82" i="4"/>
  <c r="J110" i="9"/>
  <c r="J9" i="11" s="1"/>
  <c r="Q20" i="4" l="1"/>
  <c r="P24" i="4"/>
  <c r="P137" i="8" s="1"/>
  <c r="N136" i="6"/>
  <c r="L91" i="9"/>
  <c r="L140" i="6"/>
  <c r="M138" i="6"/>
  <c r="R16" i="4"/>
  <c r="Q27" i="4"/>
  <c r="L101" i="9"/>
  <c r="L90" i="5"/>
  <c r="L92" i="5" s="1"/>
  <c r="T120" i="6"/>
  <c r="S121" i="6"/>
  <c r="M155" i="8"/>
  <c r="M156" i="8" s="1"/>
  <c r="M151" i="8"/>
  <c r="M152" i="8" s="1"/>
  <c r="AB60" i="4"/>
  <c r="AA62" i="4"/>
  <c r="AA63" i="4"/>
  <c r="AA61" i="4"/>
  <c r="K160" i="8"/>
  <c r="K166" i="8" s="1"/>
  <c r="K8" i="11" s="1"/>
  <c r="W37" i="4"/>
  <c r="W40" i="4"/>
  <c r="M84" i="5"/>
  <c r="Q54" i="4"/>
  <c r="R24" i="1"/>
  <c r="Q53" i="4"/>
  <c r="M100" i="9"/>
  <c r="M88" i="9"/>
  <c r="J10" i="11"/>
  <c r="L148" i="6"/>
  <c r="L157" i="6"/>
  <c r="M75" i="5"/>
  <c r="O69" i="4"/>
  <c r="O68" i="4"/>
  <c r="N150" i="8"/>
  <c r="N154" i="8"/>
  <c r="N150" i="6"/>
  <c r="N152" i="6" s="1"/>
  <c r="N154" i="6"/>
  <c r="N156" i="6" s="1"/>
  <c r="N145" i="8"/>
  <c r="N145" i="6"/>
  <c r="M129" i="8"/>
  <c r="M129" i="6"/>
  <c r="M132" i="6" s="1"/>
  <c r="M149" i="8"/>
  <c r="M149" i="6"/>
  <c r="M146" i="8"/>
  <c r="M147" i="8" s="1"/>
  <c r="M146" i="6"/>
  <c r="M147" i="6" s="1"/>
  <c r="M96" i="9"/>
  <c r="P19" i="4"/>
  <c r="P22" i="4" s="1"/>
  <c r="P137" i="6" s="1"/>
  <c r="Q18" i="4"/>
  <c r="Q73" i="4"/>
  <c r="P74" i="4"/>
  <c r="N98" i="9"/>
  <c r="N94" i="9"/>
  <c r="N82" i="5"/>
  <c r="N87" i="5"/>
  <c r="N26" i="4"/>
  <c r="N128" i="8"/>
  <c r="N128" i="6"/>
  <c r="N135" i="6"/>
  <c r="N126" i="8"/>
  <c r="N126" i="6"/>
  <c r="N127" i="8"/>
  <c r="N127" i="6"/>
  <c r="N135" i="8"/>
  <c r="N138" i="8" s="1"/>
  <c r="L132" i="8"/>
  <c r="R120" i="8"/>
  <c r="Q121" i="8"/>
  <c r="P34" i="4"/>
  <c r="O35" i="4"/>
  <c r="O25" i="4"/>
  <c r="O136" i="8" s="1"/>
  <c r="O28" i="4"/>
  <c r="O46" i="4"/>
  <c r="O47" i="4" s="1"/>
  <c r="O38" i="4"/>
  <c r="O41" i="4"/>
  <c r="L7" i="11"/>
  <c r="L82" i="4"/>
  <c r="M80" i="4"/>
  <c r="L157" i="8"/>
  <c r="L148" i="8"/>
  <c r="P69" i="5"/>
  <c r="P94" i="5" s="1"/>
  <c r="P96" i="5" s="1"/>
  <c r="Q68" i="5"/>
  <c r="M140" i="8"/>
  <c r="M89" i="5"/>
  <c r="N97" i="9"/>
  <c r="N99" i="9"/>
  <c r="N95" i="9"/>
  <c r="N93" i="9"/>
  <c r="N86" i="9"/>
  <c r="N87" i="9"/>
  <c r="N86" i="5"/>
  <c r="N83" i="5"/>
  <c r="N81" i="5"/>
  <c r="N85" i="5"/>
  <c r="N74" i="5"/>
  <c r="N88" i="5"/>
  <c r="N73" i="5"/>
  <c r="M7" i="7"/>
  <c r="N79" i="4"/>
  <c r="J166" i="6"/>
  <c r="J8" i="7" s="1"/>
  <c r="K160" i="6"/>
  <c r="Q82" i="9"/>
  <c r="Q106" i="9" s="1"/>
  <c r="Q108" i="9" s="1"/>
  <c r="R81" i="9"/>
  <c r="G78" i="5"/>
  <c r="F98" i="5"/>
  <c r="F9" i="7" s="1"/>
  <c r="F10" i="7" s="1"/>
  <c r="K110" i="9"/>
  <c r="K9" i="11" s="1"/>
  <c r="L104" i="9"/>
  <c r="R20" i="4" l="1"/>
  <c r="Q24" i="4"/>
  <c r="Q137" i="8" s="1"/>
  <c r="M101" i="9"/>
  <c r="M91" i="9"/>
  <c r="O136" i="6"/>
  <c r="M140" i="6"/>
  <c r="N138" i="6"/>
  <c r="S16" i="4"/>
  <c r="R27" i="4"/>
  <c r="T121" i="6"/>
  <c r="U120" i="6"/>
  <c r="N155" i="8"/>
  <c r="N156" i="8" s="1"/>
  <c r="N151" i="8"/>
  <c r="N152" i="8" s="1"/>
  <c r="AC60" i="4"/>
  <c r="AB61" i="4"/>
  <c r="AB63" i="4"/>
  <c r="AB62" i="4"/>
  <c r="M90" i="5"/>
  <c r="M92" i="5" s="1"/>
  <c r="L160" i="8"/>
  <c r="L166" i="8" s="1"/>
  <c r="L8" i="11" s="1"/>
  <c r="N140" i="8"/>
  <c r="X37" i="4"/>
  <c r="X40" i="4"/>
  <c r="R54" i="4"/>
  <c r="S24" i="1"/>
  <c r="R53" i="4"/>
  <c r="K10" i="11"/>
  <c r="M157" i="8"/>
  <c r="M148" i="8"/>
  <c r="S81" i="9"/>
  <c r="R82" i="9"/>
  <c r="R106" i="9" s="1"/>
  <c r="R108" i="9" s="1"/>
  <c r="N7" i="7"/>
  <c r="O79" i="4"/>
  <c r="N75" i="5"/>
  <c r="N88" i="9"/>
  <c r="Q69" i="5"/>
  <c r="Q94" i="5" s="1"/>
  <c r="Q96" i="5" s="1"/>
  <c r="R68" i="5"/>
  <c r="M7" i="11"/>
  <c r="M82" i="4"/>
  <c r="N80" i="4"/>
  <c r="O97" i="9"/>
  <c r="O99" i="9"/>
  <c r="O93" i="9"/>
  <c r="O95" i="9"/>
  <c r="O87" i="9"/>
  <c r="O86" i="9"/>
  <c r="O86" i="5"/>
  <c r="O81" i="5"/>
  <c r="O85" i="5"/>
  <c r="O83" i="5"/>
  <c r="O74" i="5"/>
  <c r="O88" i="5"/>
  <c r="O73" i="5"/>
  <c r="M132" i="8"/>
  <c r="N129" i="6"/>
  <c r="N132" i="6" s="1"/>
  <c r="N89" i="5"/>
  <c r="P69" i="4"/>
  <c r="P68" i="4"/>
  <c r="O150" i="8"/>
  <c r="O154" i="6"/>
  <c r="O156" i="6" s="1"/>
  <c r="O154" i="8"/>
  <c r="O150" i="6"/>
  <c r="O152" i="6" s="1"/>
  <c r="O145" i="6"/>
  <c r="O145" i="8"/>
  <c r="R121" i="8"/>
  <c r="S120" i="8"/>
  <c r="N129" i="8"/>
  <c r="N84" i="5"/>
  <c r="Q74" i="4"/>
  <c r="R73" i="4"/>
  <c r="L160" i="6"/>
  <c r="K166" i="6"/>
  <c r="K8" i="7" s="1"/>
  <c r="Q34" i="4"/>
  <c r="P35" i="4"/>
  <c r="M157" i="6"/>
  <c r="M148" i="6"/>
  <c r="N96" i="9"/>
  <c r="Q19" i="4"/>
  <c r="Q22" i="4" s="1"/>
  <c r="Q137" i="6" s="1"/>
  <c r="R18" i="4"/>
  <c r="H78" i="5"/>
  <c r="G98" i="5"/>
  <c r="G9" i="7" s="1"/>
  <c r="G10" i="7" s="1"/>
  <c r="O98" i="9"/>
  <c r="O94" i="9"/>
  <c r="O87" i="5"/>
  <c r="O82" i="5"/>
  <c r="O128" i="8"/>
  <c r="O128" i="6"/>
  <c r="O26" i="4"/>
  <c r="O127" i="6"/>
  <c r="O135" i="8"/>
  <c r="O138" i="8" s="1"/>
  <c r="O126" i="6"/>
  <c r="O135" i="6"/>
  <c r="O127" i="8"/>
  <c r="O126" i="8"/>
  <c r="N149" i="8"/>
  <c r="N149" i="6"/>
  <c r="N146" i="8"/>
  <c r="N147" i="8" s="1"/>
  <c r="N146" i="6"/>
  <c r="N147" i="6" s="1"/>
  <c r="N100" i="9"/>
  <c r="P25" i="4"/>
  <c r="P136" i="8" s="1"/>
  <c r="P28" i="4"/>
  <c r="P38" i="4"/>
  <c r="P41" i="4"/>
  <c r="P46" i="4"/>
  <c r="P47" i="4" s="1"/>
  <c r="L110" i="9"/>
  <c r="L9" i="11" s="1"/>
  <c r="M104" i="9"/>
  <c r="S20" i="4" l="1"/>
  <c r="R24" i="4"/>
  <c r="R137" i="8" s="1"/>
  <c r="N91" i="9"/>
  <c r="O84" i="5"/>
  <c r="P136" i="6"/>
  <c r="N140" i="6"/>
  <c r="O138" i="6"/>
  <c r="T16" i="4"/>
  <c r="S27" i="4"/>
  <c r="V120" i="6"/>
  <c r="U121" i="6"/>
  <c r="O96" i="9"/>
  <c r="O155" i="8"/>
  <c r="O156" i="8" s="1"/>
  <c r="O151" i="8"/>
  <c r="O152" i="8" s="1"/>
  <c r="M160" i="8"/>
  <c r="M166" i="8" s="1"/>
  <c r="M8" i="11" s="1"/>
  <c r="O89" i="5"/>
  <c r="O90" i="5" s="1"/>
  <c r="O140" i="8"/>
  <c r="AD60" i="4"/>
  <c r="AC62" i="4"/>
  <c r="AC61" i="4"/>
  <c r="AC63" i="4"/>
  <c r="Y37" i="4"/>
  <c r="Y40" i="4"/>
  <c r="O75" i="5"/>
  <c r="T24" i="1"/>
  <c r="S53" i="4"/>
  <c r="S54" i="4"/>
  <c r="L10" i="11"/>
  <c r="O100" i="9"/>
  <c r="N101" i="9"/>
  <c r="N104" i="9" s="1"/>
  <c r="O129" i="8"/>
  <c r="N157" i="6"/>
  <c r="N148" i="6"/>
  <c r="N157" i="8"/>
  <c r="N148" i="8"/>
  <c r="P128" i="8"/>
  <c r="P128" i="6"/>
  <c r="P26" i="4"/>
  <c r="P135" i="8"/>
  <c r="P126" i="6"/>
  <c r="P135" i="6"/>
  <c r="P127" i="8"/>
  <c r="P127" i="6"/>
  <c r="P126" i="8"/>
  <c r="P98" i="9"/>
  <c r="P94" i="9"/>
  <c r="P87" i="5"/>
  <c r="P82" i="5"/>
  <c r="O129" i="6"/>
  <c r="O132" i="6" s="1"/>
  <c r="I78" i="5"/>
  <c r="H98" i="5"/>
  <c r="H9" i="7" s="1"/>
  <c r="H10" i="7" s="1"/>
  <c r="R34" i="4"/>
  <c r="Q35" i="4"/>
  <c r="S73" i="4"/>
  <c r="R74" i="4"/>
  <c r="T120" i="8"/>
  <c r="S121" i="8"/>
  <c r="N132" i="8"/>
  <c r="O88" i="9"/>
  <c r="O91" i="9" s="1"/>
  <c r="T81" i="9"/>
  <c r="S82" i="9"/>
  <c r="S106" i="9" s="1"/>
  <c r="S108" i="9" s="1"/>
  <c r="S18" i="4"/>
  <c r="R19" i="4"/>
  <c r="R22" i="4" s="1"/>
  <c r="R137" i="6" s="1"/>
  <c r="Q68" i="4"/>
  <c r="Q69" i="4"/>
  <c r="R69" i="5"/>
  <c r="R94" i="5" s="1"/>
  <c r="R96" i="5" s="1"/>
  <c r="S68" i="5"/>
  <c r="O7" i="7"/>
  <c r="P79" i="4"/>
  <c r="P97" i="9"/>
  <c r="P99" i="9"/>
  <c r="P93" i="9"/>
  <c r="P95" i="9"/>
  <c r="P86" i="9"/>
  <c r="P87" i="9"/>
  <c r="P86" i="5"/>
  <c r="P74" i="5"/>
  <c r="P88" i="5"/>
  <c r="P85" i="5"/>
  <c r="P83" i="5"/>
  <c r="P81" i="5"/>
  <c r="P73" i="5"/>
  <c r="O149" i="8"/>
  <c r="O149" i="6"/>
  <c r="O146" i="6"/>
  <c r="O147" i="6" s="1"/>
  <c r="O146" i="8"/>
  <c r="O147" i="8" s="1"/>
  <c r="Q25" i="4"/>
  <c r="Q136" i="8" s="1"/>
  <c r="Q28" i="4"/>
  <c r="Q46" i="4"/>
  <c r="Q47" i="4" s="1"/>
  <c r="Q38" i="4"/>
  <c r="Q41" i="4"/>
  <c r="M160" i="6"/>
  <c r="L166" i="6"/>
  <c r="L8" i="7" s="1"/>
  <c r="N90" i="5"/>
  <c r="N92" i="5" s="1"/>
  <c r="N7" i="11"/>
  <c r="N82" i="4"/>
  <c r="O80" i="4"/>
  <c r="P150" i="8"/>
  <c r="P154" i="8"/>
  <c r="P154" i="6"/>
  <c r="P156" i="6" s="1"/>
  <c r="P150" i="6"/>
  <c r="P152" i="6" s="1"/>
  <c r="P145" i="8"/>
  <c r="P145" i="6"/>
  <c r="M110" i="9"/>
  <c r="M9" i="11" s="1"/>
  <c r="T20" i="4" l="1"/>
  <c r="S24" i="4"/>
  <c r="S137" i="8" s="1"/>
  <c r="P138" i="8"/>
  <c r="P140" i="8" s="1"/>
  <c r="Q136" i="6"/>
  <c r="O140" i="6"/>
  <c r="N160" i="8"/>
  <c r="N166" i="8" s="1"/>
  <c r="N8" i="11" s="1"/>
  <c r="P138" i="6"/>
  <c r="U16" i="4"/>
  <c r="T27" i="4"/>
  <c r="W120" i="6"/>
  <c r="V121" i="6"/>
  <c r="O101" i="9"/>
  <c r="O104" i="9" s="1"/>
  <c r="P155" i="8"/>
  <c r="P156" i="8" s="1"/>
  <c r="P151" i="8"/>
  <c r="P152" i="8" s="1"/>
  <c r="AE60" i="4"/>
  <c r="AD63" i="4"/>
  <c r="AD62" i="4"/>
  <c r="AD61" i="4"/>
  <c r="P75" i="5"/>
  <c r="Z37" i="4"/>
  <c r="Z40" i="4"/>
  <c r="T53" i="4"/>
  <c r="T54" i="4"/>
  <c r="U24" i="1"/>
  <c r="P129" i="6"/>
  <c r="P132" i="6" s="1"/>
  <c r="P96" i="9"/>
  <c r="P88" i="9"/>
  <c r="P91" i="9" s="1"/>
  <c r="P129" i="8"/>
  <c r="M10" i="11"/>
  <c r="O157" i="8"/>
  <c r="O148" i="8"/>
  <c r="O7" i="11"/>
  <c r="P80" i="4"/>
  <c r="O82" i="4"/>
  <c r="Q97" i="9"/>
  <c r="Q99" i="9"/>
  <c r="Q93" i="9"/>
  <c r="Q95" i="9"/>
  <c r="Q86" i="9"/>
  <c r="Q87" i="9"/>
  <c r="Q86" i="5"/>
  <c r="Q74" i="5"/>
  <c r="Q88" i="5"/>
  <c r="Q83" i="5"/>
  <c r="Q81" i="5"/>
  <c r="Q85" i="5"/>
  <c r="Q73" i="5"/>
  <c r="U120" i="8"/>
  <c r="T121" i="8"/>
  <c r="S34" i="4"/>
  <c r="R35" i="4"/>
  <c r="O157" i="6"/>
  <c r="O148" i="6"/>
  <c r="R25" i="4"/>
  <c r="R136" i="8" s="1"/>
  <c r="R46" i="4"/>
  <c r="R47" i="4" s="1"/>
  <c r="R38" i="4"/>
  <c r="R28" i="4"/>
  <c r="R41" i="4"/>
  <c r="O132" i="8"/>
  <c r="R69" i="4"/>
  <c r="R68" i="4"/>
  <c r="P100" i="9"/>
  <c r="N160" i="6"/>
  <c r="M166" i="6"/>
  <c r="M8" i="7" s="1"/>
  <c r="U81" i="9"/>
  <c r="T82" i="9"/>
  <c r="T106" i="9" s="1"/>
  <c r="T108" i="9" s="1"/>
  <c r="T73" i="4"/>
  <c r="S74" i="4"/>
  <c r="P149" i="8"/>
  <c r="P149" i="6"/>
  <c r="P146" i="6"/>
  <c r="P147" i="6" s="1"/>
  <c r="P146" i="8"/>
  <c r="P147" i="8" s="1"/>
  <c r="P7" i="7"/>
  <c r="Q79" i="4"/>
  <c r="S19" i="4"/>
  <c r="S22" i="4" s="1"/>
  <c r="S137" i="6" s="1"/>
  <c r="T18" i="4"/>
  <c r="P84" i="5"/>
  <c r="Q98" i="9"/>
  <c r="Q94" i="9"/>
  <c r="Q82" i="5"/>
  <c r="Q87" i="5"/>
  <c r="Q128" i="8"/>
  <c r="Q128" i="6"/>
  <c r="Q26" i="4"/>
  <c r="Q135" i="6"/>
  <c r="Q126" i="8"/>
  <c r="Q127" i="8"/>
  <c r="Q135" i="8"/>
  <c r="Q138" i="8" s="1"/>
  <c r="Q126" i="6"/>
  <c r="Q127" i="6"/>
  <c r="Q154" i="8"/>
  <c r="Q150" i="8"/>
  <c r="Q154" i="6"/>
  <c r="Q156" i="6" s="1"/>
  <c r="Q150" i="6"/>
  <c r="Q152" i="6" s="1"/>
  <c r="Q145" i="6"/>
  <c r="Q145" i="8"/>
  <c r="J78" i="5"/>
  <c r="I98" i="5"/>
  <c r="I9" i="7" s="1"/>
  <c r="I10" i="7" s="1"/>
  <c r="P89" i="5"/>
  <c r="T68" i="5"/>
  <c r="S69" i="5"/>
  <c r="S94" i="5" s="1"/>
  <c r="S96" i="5" s="1"/>
  <c r="N110" i="9"/>
  <c r="N9" i="11" s="1"/>
  <c r="O92" i="5"/>
  <c r="U20" i="4" l="1"/>
  <c r="T24" i="4"/>
  <c r="T137" i="8" s="1"/>
  <c r="R136" i="6"/>
  <c r="P140" i="6"/>
  <c r="O160" i="8"/>
  <c r="O166" i="8" s="1"/>
  <c r="O8" i="11" s="1"/>
  <c r="Q138" i="6"/>
  <c r="V16" i="4"/>
  <c r="U27" i="4"/>
  <c r="Q84" i="5"/>
  <c r="W121" i="6"/>
  <c r="X120" i="6"/>
  <c r="Q155" i="8"/>
  <c r="Q156" i="8" s="1"/>
  <c r="Q151" i="8"/>
  <c r="Q152" i="8" s="1"/>
  <c r="AF60" i="4"/>
  <c r="AE63" i="4"/>
  <c r="AE61" i="4"/>
  <c r="AE62" i="4"/>
  <c r="P101" i="9"/>
  <c r="P104" i="9" s="1"/>
  <c r="AA37" i="4"/>
  <c r="AA40" i="4"/>
  <c r="Q96" i="9"/>
  <c r="Q75" i="5"/>
  <c r="U54" i="4"/>
  <c r="V24" i="1"/>
  <c r="U53" i="4"/>
  <c r="Q129" i="6"/>
  <c r="Q132" i="6" s="1"/>
  <c r="Q89" i="5"/>
  <c r="Q100" i="9"/>
  <c r="Q88" i="9"/>
  <c r="Q91" i="9" s="1"/>
  <c r="N10" i="11"/>
  <c r="P157" i="8"/>
  <c r="P148" i="8"/>
  <c r="S25" i="4"/>
  <c r="S136" i="8" s="1"/>
  <c r="S28" i="4"/>
  <c r="S46" i="4"/>
  <c r="S47" i="4" s="1"/>
  <c r="S38" i="4"/>
  <c r="S41" i="4"/>
  <c r="S68" i="4"/>
  <c r="S69" i="4"/>
  <c r="Q129" i="8"/>
  <c r="Q149" i="8"/>
  <c r="Q149" i="6"/>
  <c r="Q146" i="8"/>
  <c r="Q147" i="8" s="1"/>
  <c r="Q146" i="6"/>
  <c r="Q147" i="6" s="1"/>
  <c r="P90" i="5"/>
  <c r="P92" i="5" s="1"/>
  <c r="Q7" i="7"/>
  <c r="R79" i="4"/>
  <c r="U73" i="4"/>
  <c r="T74" i="4"/>
  <c r="N166" i="6"/>
  <c r="N8" i="7" s="1"/>
  <c r="O160" i="6"/>
  <c r="P132" i="8"/>
  <c r="V120" i="8"/>
  <c r="U121" i="8"/>
  <c r="P148" i="6"/>
  <c r="P157" i="6"/>
  <c r="R98" i="9"/>
  <c r="R94" i="9"/>
  <c r="R82" i="5"/>
  <c r="R87" i="5"/>
  <c r="R26" i="4"/>
  <c r="R128" i="8"/>
  <c r="R128" i="6"/>
  <c r="R126" i="6"/>
  <c r="R127" i="6"/>
  <c r="R126" i="8"/>
  <c r="R135" i="6"/>
  <c r="R135" i="8"/>
  <c r="R138" i="8" s="1"/>
  <c r="R127" i="8"/>
  <c r="R150" i="8"/>
  <c r="R154" i="8"/>
  <c r="R154" i="6"/>
  <c r="R156" i="6" s="1"/>
  <c r="R150" i="6"/>
  <c r="R152" i="6" s="1"/>
  <c r="R145" i="6"/>
  <c r="R145" i="8"/>
  <c r="P7" i="11"/>
  <c r="P82" i="4"/>
  <c r="Q80" i="4"/>
  <c r="K78" i="5"/>
  <c r="J98" i="5"/>
  <c r="J9" i="7" s="1"/>
  <c r="J10" i="7" s="1"/>
  <c r="T69" i="5"/>
  <c r="T94" i="5" s="1"/>
  <c r="T96" i="5" s="1"/>
  <c r="U68" i="5"/>
  <c r="Q140" i="8"/>
  <c r="T19" i="4"/>
  <c r="T22" i="4" s="1"/>
  <c r="T137" i="6" s="1"/>
  <c r="U18" i="4"/>
  <c r="U82" i="9"/>
  <c r="U106" i="9" s="1"/>
  <c r="U108" i="9" s="1"/>
  <c r="V81" i="9"/>
  <c r="T34" i="4"/>
  <c r="S35" i="4"/>
  <c r="R97" i="9"/>
  <c r="R99" i="9"/>
  <c r="R93" i="9"/>
  <c r="R95" i="9"/>
  <c r="R86" i="9"/>
  <c r="R87" i="9"/>
  <c r="R86" i="5"/>
  <c r="R83" i="5"/>
  <c r="R74" i="5"/>
  <c r="R85" i="5"/>
  <c r="R81" i="5"/>
  <c r="R88" i="5"/>
  <c r="R73" i="5"/>
  <c r="O110" i="9"/>
  <c r="O9" i="11" s="1"/>
  <c r="V20" i="4" l="1"/>
  <c r="U24" i="4"/>
  <c r="U137" i="8" s="1"/>
  <c r="P160" i="8"/>
  <c r="Q140" i="6"/>
  <c r="S136" i="6"/>
  <c r="R138" i="6"/>
  <c r="W16" i="4"/>
  <c r="V27" i="4"/>
  <c r="Q90" i="5"/>
  <c r="Q92" i="5" s="1"/>
  <c r="Y120" i="6"/>
  <c r="X121" i="6"/>
  <c r="R155" i="8"/>
  <c r="R156" i="8" s="1"/>
  <c r="R151" i="8"/>
  <c r="R152" i="8" s="1"/>
  <c r="R75" i="5"/>
  <c r="AG60" i="4"/>
  <c r="AF61" i="4"/>
  <c r="AF63" i="4"/>
  <c r="AF62" i="4"/>
  <c r="Q101" i="9"/>
  <c r="Q104" i="9" s="1"/>
  <c r="R140" i="8"/>
  <c r="AB37" i="4"/>
  <c r="AB40" i="4"/>
  <c r="V54" i="4"/>
  <c r="W24" i="1"/>
  <c r="V53" i="4"/>
  <c r="O10" i="11"/>
  <c r="Q148" i="6"/>
  <c r="Q157" i="6"/>
  <c r="V82" i="9"/>
  <c r="V106" i="9" s="1"/>
  <c r="V108" i="9" s="1"/>
  <c r="W81" i="9"/>
  <c r="T25" i="4"/>
  <c r="T136" i="8" s="1"/>
  <c r="T28" i="4"/>
  <c r="T46" i="4"/>
  <c r="T47" i="4" s="1"/>
  <c r="T38" i="4"/>
  <c r="T41" i="4"/>
  <c r="R88" i="9"/>
  <c r="R91" i="9" s="1"/>
  <c r="R129" i="6"/>
  <c r="R132" i="6" s="1"/>
  <c r="R96" i="9"/>
  <c r="O166" i="6"/>
  <c r="O8" i="7" s="1"/>
  <c r="P160" i="6"/>
  <c r="R7" i="7"/>
  <c r="S79" i="4"/>
  <c r="S97" i="9"/>
  <c r="S99" i="9"/>
  <c r="S95" i="9"/>
  <c r="S93" i="9"/>
  <c r="S87" i="9"/>
  <c r="S86" i="9"/>
  <c r="S86" i="5"/>
  <c r="S74" i="5"/>
  <c r="S81" i="5"/>
  <c r="S83" i="5"/>
  <c r="S85" i="5"/>
  <c r="S88" i="5"/>
  <c r="S73" i="5"/>
  <c r="S154" i="6"/>
  <c r="S156" i="6" s="1"/>
  <c r="S154" i="8"/>
  <c r="S150" i="8"/>
  <c r="S150" i="6"/>
  <c r="S152" i="6" s="1"/>
  <c r="S145" i="6"/>
  <c r="S145" i="8"/>
  <c r="L78" i="5"/>
  <c r="K98" i="5"/>
  <c r="K9" i="7" s="1"/>
  <c r="K10" i="7" s="1"/>
  <c r="R100" i="9"/>
  <c r="Q148" i="8"/>
  <c r="Q157" i="8"/>
  <c r="R149" i="8"/>
  <c r="R149" i="6"/>
  <c r="R146" i="8"/>
  <c r="R147" i="8" s="1"/>
  <c r="R146" i="6"/>
  <c r="R147" i="6" s="1"/>
  <c r="V121" i="8"/>
  <c r="W120" i="8"/>
  <c r="U34" i="4"/>
  <c r="T35" i="4"/>
  <c r="U19" i="4"/>
  <c r="U22" i="4" s="1"/>
  <c r="U137" i="6" s="1"/>
  <c r="V18" i="4"/>
  <c r="U69" i="5"/>
  <c r="U94" i="5" s="1"/>
  <c r="U96" i="5" s="1"/>
  <c r="V68" i="5"/>
  <c r="Q7" i="11"/>
  <c r="Q82" i="4"/>
  <c r="R80" i="4"/>
  <c r="R129" i="8"/>
  <c r="R89" i="5"/>
  <c r="T68" i="4"/>
  <c r="T69" i="4"/>
  <c r="R84" i="5"/>
  <c r="Q132" i="8"/>
  <c r="P166" i="8"/>
  <c r="P8" i="11" s="1"/>
  <c r="U74" i="4"/>
  <c r="V73" i="4"/>
  <c r="S98" i="9"/>
  <c r="S94" i="9"/>
  <c r="S82" i="5"/>
  <c r="S87" i="5"/>
  <c r="S89" i="5" s="1"/>
  <c r="S128" i="8"/>
  <c r="S128" i="6"/>
  <c r="S26" i="4"/>
  <c r="S135" i="6"/>
  <c r="S126" i="6"/>
  <c r="S126" i="8"/>
  <c r="S127" i="8"/>
  <c r="S127" i="6"/>
  <c r="S135" i="8"/>
  <c r="S138" i="8" s="1"/>
  <c r="P110" i="9"/>
  <c r="P9" i="11" s="1"/>
  <c r="W20" i="4" l="1"/>
  <c r="V24" i="4"/>
  <c r="V137" i="8" s="1"/>
  <c r="R140" i="6"/>
  <c r="Q160" i="8"/>
  <c r="T136" i="6"/>
  <c r="S138" i="6"/>
  <c r="X16" i="4"/>
  <c r="W27" i="4"/>
  <c r="Z120" i="6"/>
  <c r="Y121" i="6"/>
  <c r="S96" i="9"/>
  <c r="S155" i="8"/>
  <c r="S156" i="8" s="1"/>
  <c r="S151" i="8"/>
  <c r="S152" i="8" s="1"/>
  <c r="AH60" i="4"/>
  <c r="AG63" i="4"/>
  <c r="AG62" i="4"/>
  <c r="AG61" i="4"/>
  <c r="S100" i="9"/>
  <c r="S84" i="5"/>
  <c r="S90" i="5" s="1"/>
  <c r="AC37" i="4"/>
  <c r="AC40" i="4"/>
  <c r="R90" i="5"/>
  <c r="R92" i="5" s="1"/>
  <c r="X24" i="1"/>
  <c r="W53" i="4"/>
  <c r="W54" i="4"/>
  <c r="S88" i="9"/>
  <c r="S91" i="9" s="1"/>
  <c r="S129" i="8"/>
  <c r="R157" i="6"/>
  <c r="R148" i="6"/>
  <c r="P10" i="11"/>
  <c r="R132" i="8"/>
  <c r="Q166" i="8"/>
  <c r="Q8" i="11" s="1"/>
  <c r="W18" i="4"/>
  <c r="V19" i="4"/>
  <c r="V22" i="4" s="1"/>
  <c r="V137" i="6" s="1"/>
  <c r="S75" i="5"/>
  <c r="T97" i="9"/>
  <c r="T99" i="9"/>
  <c r="T95" i="9"/>
  <c r="T93" i="9"/>
  <c r="T87" i="9"/>
  <c r="T86" i="9"/>
  <c r="T86" i="5"/>
  <c r="T83" i="5"/>
  <c r="T81" i="5"/>
  <c r="T88" i="5"/>
  <c r="T74" i="5"/>
  <c r="T85" i="5"/>
  <c r="T73" i="5"/>
  <c r="X81" i="9"/>
  <c r="W82" i="9"/>
  <c r="W106" i="9" s="1"/>
  <c r="W108" i="9" s="1"/>
  <c r="W73" i="4"/>
  <c r="V74" i="4"/>
  <c r="U25" i="4"/>
  <c r="U136" i="8" s="1"/>
  <c r="U46" i="4"/>
  <c r="U47" i="4" s="1"/>
  <c r="U38" i="4"/>
  <c r="U41" i="4"/>
  <c r="U28" i="4"/>
  <c r="X120" i="8"/>
  <c r="W121" i="8"/>
  <c r="M78" i="5"/>
  <c r="L98" i="5"/>
  <c r="L9" i="7" s="1"/>
  <c r="L10" i="7" s="1"/>
  <c r="S7" i="7"/>
  <c r="T79" i="4"/>
  <c r="R101" i="9"/>
  <c r="R104" i="9" s="1"/>
  <c r="S140" i="8"/>
  <c r="S129" i="6"/>
  <c r="S132" i="6" s="1"/>
  <c r="S149" i="8"/>
  <c r="S149" i="6"/>
  <c r="S146" i="6"/>
  <c r="S147" i="6" s="1"/>
  <c r="S146" i="8"/>
  <c r="S147" i="8" s="1"/>
  <c r="U68" i="4"/>
  <c r="U69" i="4"/>
  <c r="V69" i="5"/>
  <c r="V94" i="5" s="1"/>
  <c r="V96" i="5" s="1"/>
  <c r="W68" i="5"/>
  <c r="T150" i="8"/>
  <c r="T154" i="8"/>
  <c r="T154" i="6"/>
  <c r="T156" i="6" s="1"/>
  <c r="T150" i="6"/>
  <c r="T152" i="6" s="1"/>
  <c r="T145" i="8"/>
  <c r="T145" i="6"/>
  <c r="R7" i="11"/>
  <c r="R82" i="4"/>
  <c r="S80" i="4"/>
  <c r="V34" i="4"/>
  <c r="U35" i="4"/>
  <c r="R157" i="8"/>
  <c r="R148" i="8"/>
  <c r="P166" i="6"/>
  <c r="P8" i="7" s="1"/>
  <c r="Q160" i="6"/>
  <c r="T98" i="9"/>
  <c r="T94" i="9"/>
  <c r="T82" i="5"/>
  <c r="T87" i="5"/>
  <c r="T128" i="8"/>
  <c r="T26" i="4"/>
  <c r="T128" i="6"/>
  <c r="T135" i="8"/>
  <c r="T138" i="8" s="1"/>
  <c r="T127" i="6"/>
  <c r="T126" i="8"/>
  <c r="T126" i="6"/>
  <c r="T127" i="8"/>
  <c r="T135" i="6"/>
  <c r="Q110" i="9"/>
  <c r="Q9" i="11" s="1"/>
  <c r="S140" i="6" l="1"/>
  <c r="X20" i="4"/>
  <c r="W24" i="4"/>
  <c r="W137" i="8" s="1"/>
  <c r="R160" i="8"/>
  <c r="R166" i="8" s="1"/>
  <c r="R8" i="11" s="1"/>
  <c r="U136" i="6"/>
  <c r="T138" i="6"/>
  <c r="T140" i="6" s="1"/>
  <c r="Y16" i="4"/>
  <c r="X27" i="4"/>
  <c r="Z121" i="6"/>
  <c r="AA120" i="6"/>
  <c r="T100" i="9"/>
  <c r="S101" i="9"/>
  <c r="S104" i="9" s="1"/>
  <c r="T96" i="9"/>
  <c r="T155" i="8"/>
  <c r="T156" i="8" s="1"/>
  <c r="T151" i="8"/>
  <c r="T152" i="8" s="1"/>
  <c r="T84" i="5"/>
  <c r="AI60" i="4"/>
  <c r="AH62" i="4"/>
  <c r="AH61" i="4"/>
  <c r="AH63" i="4"/>
  <c r="T89" i="5"/>
  <c r="AD37" i="4"/>
  <c r="AD40" i="4"/>
  <c r="T75" i="5"/>
  <c r="X53" i="4"/>
  <c r="Y24" i="1"/>
  <c r="X54" i="4"/>
  <c r="T129" i="6"/>
  <c r="T132" i="6" s="1"/>
  <c r="Q10" i="11"/>
  <c r="U150" i="8"/>
  <c r="U154" i="8"/>
  <c r="U154" i="6"/>
  <c r="U156" i="6" s="1"/>
  <c r="U150" i="6"/>
  <c r="U152" i="6" s="1"/>
  <c r="U145" i="8"/>
  <c r="U145" i="6"/>
  <c r="Y120" i="8"/>
  <c r="X121" i="8"/>
  <c r="S132" i="8"/>
  <c r="T129" i="8"/>
  <c r="S148" i="6"/>
  <c r="S157" i="6"/>
  <c r="W34" i="4"/>
  <c r="V35" i="4"/>
  <c r="U128" i="8"/>
  <c r="U26" i="4"/>
  <c r="U128" i="6"/>
  <c r="U127" i="6"/>
  <c r="U126" i="6"/>
  <c r="U127" i="8"/>
  <c r="U135" i="8"/>
  <c r="U138" i="8" s="1"/>
  <c r="U126" i="8"/>
  <c r="U135" i="6"/>
  <c r="Y81" i="9"/>
  <c r="X82" i="9"/>
  <c r="X106" i="9" s="1"/>
  <c r="X108" i="9" s="1"/>
  <c r="T88" i="9"/>
  <c r="T91" i="9" s="1"/>
  <c r="V25" i="4"/>
  <c r="V136" i="8" s="1"/>
  <c r="V46" i="4"/>
  <c r="V47" i="4" s="1"/>
  <c r="V38" i="4"/>
  <c r="V28" i="4"/>
  <c r="V41" i="4"/>
  <c r="S7" i="11"/>
  <c r="S82" i="4"/>
  <c r="T80" i="4"/>
  <c r="T7" i="7"/>
  <c r="U79" i="4"/>
  <c r="N78" i="5"/>
  <c r="M98" i="5"/>
  <c r="M9" i="7" s="1"/>
  <c r="M10" i="7" s="1"/>
  <c r="U98" i="9"/>
  <c r="U94" i="9"/>
  <c r="U82" i="5"/>
  <c r="U87" i="5"/>
  <c r="V69" i="4"/>
  <c r="V68" i="4"/>
  <c r="W19" i="4"/>
  <c r="W22" i="4" s="1"/>
  <c r="W137" i="6" s="1"/>
  <c r="X18" i="4"/>
  <c r="T140" i="8"/>
  <c r="T149" i="8"/>
  <c r="T149" i="6"/>
  <c r="T146" i="6"/>
  <c r="T147" i="6" s="1"/>
  <c r="T146" i="8"/>
  <c r="T147" i="8" s="1"/>
  <c r="R160" i="6"/>
  <c r="Q166" i="6"/>
  <c r="Q8" i="7" s="1"/>
  <c r="S157" i="8"/>
  <c r="S148" i="8"/>
  <c r="X68" i="5"/>
  <c r="W69" i="5"/>
  <c r="W94" i="5" s="1"/>
  <c r="W96" i="5" s="1"/>
  <c r="U97" i="9"/>
  <c r="U99" i="9"/>
  <c r="U95" i="9"/>
  <c r="U93" i="9"/>
  <c r="U86" i="9"/>
  <c r="U87" i="9"/>
  <c r="U86" i="5"/>
  <c r="U74" i="5"/>
  <c r="U85" i="5"/>
  <c r="U88" i="5"/>
  <c r="U81" i="5"/>
  <c r="U83" i="5"/>
  <c r="U73" i="5"/>
  <c r="X73" i="4"/>
  <c r="W74" i="4"/>
  <c r="R110" i="9"/>
  <c r="R9" i="11" s="1"/>
  <c r="S92" i="5"/>
  <c r="S160" i="8" l="1"/>
  <c r="Y20" i="4"/>
  <c r="X24" i="4"/>
  <c r="X137" i="8" s="1"/>
  <c r="V136" i="6"/>
  <c r="U138" i="6"/>
  <c r="U140" i="6" s="1"/>
  <c r="Z16" i="4"/>
  <c r="Y27" i="4"/>
  <c r="AB120" i="6"/>
  <c r="AA121" i="6"/>
  <c r="T101" i="9"/>
  <c r="T104" i="9" s="1"/>
  <c r="U129" i="6"/>
  <c r="U132" i="6" s="1"/>
  <c r="U155" i="8"/>
  <c r="U156" i="8" s="1"/>
  <c r="U151" i="8"/>
  <c r="U152" i="8" s="1"/>
  <c r="T90" i="5"/>
  <c r="T92" i="5" s="1"/>
  <c r="U140" i="8"/>
  <c r="AJ60" i="4"/>
  <c r="AI63" i="4"/>
  <c r="AI61" i="4"/>
  <c r="AI62" i="4"/>
  <c r="AE37" i="4"/>
  <c r="AE40" i="4"/>
  <c r="U75" i="5"/>
  <c r="Y54" i="4"/>
  <c r="Z24" i="1"/>
  <c r="Y53" i="4"/>
  <c r="U88" i="9"/>
  <c r="U91" i="9" s="1"/>
  <c r="U129" i="8"/>
  <c r="R10" i="11"/>
  <c r="T148" i="6"/>
  <c r="T157" i="6"/>
  <c r="T157" i="8"/>
  <c r="T160" i="8" s="1"/>
  <c r="T148" i="8"/>
  <c r="X69" i="5"/>
  <c r="X94" i="5" s="1"/>
  <c r="X96" i="5" s="1"/>
  <c r="Y68" i="5"/>
  <c r="S160" i="6"/>
  <c r="R166" i="6"/>
  <c r="R8" i="7" s="1"/>
  <c r="U84" i="5"/>
  <c r="O78" i="5"/>
  <c r="N98" i="5"/>
  <c r="N9" i="7" s="1"/>
  <c r="N10" i="7" s="1"/>
  <c r="V97" i="9"/>
  <c r="V99" i="9"/>
  <c r="V95" i="9"/>
  <c r="V93" i="9"/>
  <c r="V87" i="9"/>
  <c r="V86" i="9"/>
  <c r="V86" i="5"/>
  <c r="V74" i="5"/>
  <c r="V81" i="5"/>
  <c r="V85" i="5"/>
  <c r="V83" i="5"/>
  <c r="V88" i="5"/>
  <c r="V73" i="5"/>
  <c r="X34" i="4"/>
  <c r="W35" i="4"/>
  <c r="W68" i="4"/>
  <c r="W69" i="4"/>
  <c r="Y73" i="4"/>
  <c r="X74" i="4"/>
  <c r="U96" i="9"/>
  <c r="U7" i="7"/>
  <c r="V79" i="4"/>
  <c r="T7" i="11"/>
  <c r="T82" i="4"/>
  <c r="U80" i="4"/>
  <c r="Y82" i="9"/>
  <c r="Y106" i="9" s="1"/>
  <c r="Y108" i="9" s="1"/>
  <c r="Z81" i="9"/>
  <c r="T132" i="8"/>
  <c r="S166" i="8"/>
  <c r="S8" i="11" s="1"/>
  <c r="X19" i="4"/>
  <c r="X22" i="4" s="1"/>
  <c r="X137" i="6" s="1"/>
  <c r="Y18" i="4"/>
  <c r="U100" i="9"/>
  <c r="V98" i="9"/>
  <c r="V94" i="9"/>
  <c r="V82" i="5"/>
  <c r="V87" i="5"/>
  <c r="V128" i="8"/>
  <c r="V26" i="4"/>
  <c r="V128" i="6"/>
  <c r="V135" i="6"/>
  <c r="V127" i="6"/>
  <c r="V127" i="8"/>
  <c r="V126" i="8"/>
  <c r="V126" i="6"/>
  <c r="V135" i="8"/>
  <c r="V138" i="8" s="1"/>
  <c r="W25" i="4"/>
  <c r="W136" i="8" s="1"/>
  <c r="W46" i="4"/>
  <c r="W47" i="4" s="1"/>
  <c r="W38" i="4"/>
  <c r="W28" i="4"/>
  <c r="W41" i="4"/>
  <c r="U89" i="5"/>
  <c r="U149" i="8"/>
  <c r="U149" i="6"/>
  <c r="U146" i="6"/>
  <c r="U147" i="6" s="1"/>
  <c r="U146" i="8"/>
  <c r="U147" i="8" s="1"/>
  <c r="V154" i="8"/>
  <c r="V150" i="8"/>
  <c r="V150" i="6"/>
  <c r="V152" i="6" s="1"/>
  <c r="V154" i="6"/>
  <c r="V156" i="6" s="1"/>
  <c r="V145" i="8"/>
  <c r="V145" i="6"/>
  <c r="Z120" i="8"/>
  <c r="Y121" i="8"/>
  <c r="S110" i="9"/>
  <c r="S9" i="11" s="1"/>
  <c r="Z20" i="4" l="1"/>
  <c r="Y24" i="4"/>
  <c r="Y137" i="8" s="1"/>
  <c r="W136" i="6"/>
  <c r="V138" i="6"/>
  <c r="V140" i="6" s="1"/>
  <c r="AA16" i="4"/>
  <c r="Z27" i="4"/>
  <c r="V89" i="5"/>
  <c r="V84" i="5"/>
  <c r="AB121" i="6"/>
  <c r="AC120" i="6"/>
  <c r="V155" i="8"/>
  <c r="V156" i="8" s="1"/>
  <c r="V151" i="8"/>
  <c r="V152" i="8" s="1"/>
  <c r="U90" i="5"/>
  <c r="U92" i="5" s="1"/>
  <c r="AK60" i="4"/>
  <c r="AJ63" i="4"/>
  <c r="AJ62" i="4"/>
  <c r="AJ61" i="4"/>
  <c r="AF40" i="4"/>
  <c r="AF37" i="4"/>
  <c r="Z54" i="4"/>
  <c r="AA24" i="1"/>
  <c r="Z53" i="4"/>
  <c r="V129" i="6"/>
  <c r="V132" i="6" s="1"/>
  <c r="V100" i="9"/>
  <c r="V96" i="9"/>
  <c r="V88" i="9"/>
  <c r="V91" i="9" s="1"/>
  <c r="S10" i="11"/>
  <c r="U148" i="8"/>
  <c r="U157" i="8"/>
  <c r="U160" i="8" s="1"/>
  <c r="W97" i="9"/>
  <c r="W99" i="9"/>
  <c r="W93" i="9"/>
  <c r="W95" i="9"/>
  <c r="W87" i="9"/>
  <c r="W86" i="9"/>
  <c r="W86" i="5"/>
  <c r="W74" i="5"/>
  <c r="W81" i="5"/>
  <c r="W83" i="5"/>
  <c r="W88" i="5"/>
  <c r="W85" i="5"/>
  <c r="W73" i="5"/>
  <c r="V140" i="8"/>
  <c r="Y19" i="4"/>
  <c r="Y22" i="4" s="1"/>
  <c r="Y137" i="6" s="1"/>
  <c r="Z18" i="4"/>
  <c r="AA81" i="9"/>
  <c r="Z82" i="9"/>
  <c r="Z106" i="9" s="1"/>
  <c r="Z108" i="9" s="1"/>
  <c r="X69" i="4"/>
  <c r="X68" i="4"/>
  <c r="W154" i="8"/>
  <c r="W150" i="8"/>
  <c r="W154" i="6"/>
  <c r="W156" i="6" s="1"/>
  <c r="W150" i="6"/>
  <c r="W152" i="6" s="1"/>
  <c r="W145" i="6"/>
  <c r="W145" i="8"/>
  <c r="V149" i="8"/>
  <c r="V149" i="6"/>
  <c r="V146" i="8"/>
  <c r="V147" i="8" s="1"/>
  <c r="V146" i="6"/>
  <c r="V147" i="6" s="1"/>
  <c r="X25" i="4"/>
  <c r="X136" i="8" s="1"/>
  <c r="X28" i="4"/>
  <c r="X46" i="4"/>
  <c r="X47" i="4" s="1"/>
  <c r="X38" i="4"/>
  <c r="X41" i="4"/>
  <c r="V7" i="7"/>
  <c r="W79" i="4"/>
  <c r="Y74" i="4"/>
  <c r="Z73" i="4"/>
  <c r="Y34" i="4"/>
  <c r="X35" i="4"/>
  <c r="Z121" i="8"/>
  <c r="AA120" i="8"/>
  <c r="W98" i="9"/>
  <c r="W94" i="9"/>
  <c r="W82" i="5"/>
  <c r="W87" i="5"/>
  <c r="W128" i="6"/>
  <c r="W128" i="8"/>
  <c r="W26" i="4"/>
  <c r="W126" i="8"/>
  <c r="W126" i="6"/>
  <c r="W135" i="8"/>
  <c r="W138" i="8" s="1"/>
  <c r="W135" i="6"/>
  <c r="W127" i="6"/>
  <c r="W127" i="8"/>
  <c r="V129" i="8"/>
  <c r="U7" i="11"/>
  <c r="U82" i="4"/>
  <c r="V80" i="4"/>
  <c r="V75" i="5"/>
  <c r="S166" i="6"/>
  <c r="S8" i="7" s="1"/>
  <c r="T160" i="6"/>
  <c r="U157" i="6"/>
  <c r="U148" i="6"/>
  <c r="U132" i="8"/>
  <c r="T166" i="8"/>
  <c r="T8" i="11" s="1"/>
  <c r="U101" i="9"/>
  <c r="U104" i="9" s="1"/>
  <c r="P78" i="5"/>
  <c r="O98" i="5"/>
  <c r="O9" i="7" s="1"/>
  <c r="O10" i="7" s="1"/>
  <c r="Y69" i="5"/>
  <c r="Y94" i="5" s="1"/>
  <c r="Y96" i="5" s="1"/>
  <c r="Z68" i="5"/>
  <c r="T110" i="9"/>
  <c r="T9" i="11" s="1"/>
  <c r="AA20" i="4" l="1"/>
  <c r="Z24" i="4"/>
  <c r="Z137" i="8" s="1"/>
  <c r="X136" i="6"/>
  <c r="W138" i="6"/>
  <c r="W140" i="6" s="1"/>
  <c r="AB16" i="4"/>
  <c r="AA27" i="4"/>
  <c r="V90" i="5"/>
  <c r="V92" i="5" s="1"/>
  <c r="W100" i="9"/>
  <c r="AD120" i="6"/>
  <c r="AC121" i="6"/>
  <c r="W155" i="8"/>
  <c r="W156" i="8" s="1"/>
  <c r="W151" i="8"/>
  <c r="W152" i="8" s="1"/>
  <c r="W84" i="5"/>
  <c r="AL60" i="4"/>
  <c r="AK61" i="4"/>
  <c r="AK63" i="4"/>
  <c r="AK62" i="4"/>
  <c r="W96" i="9"/>
  <c r="V101" i="9"/>
  <c r="V104" i="9" s="1"/>
  <c r="W89" i="5"/>
  <c r="W75" i="5"/>
  <c r="AG37" i="4"/>
  <c r="AG40" i="4"/>
  <c r="AB24" i="1"/>
  <c r="AA53" i="4"/>
  <c r="AA54" i="4"/>
  <c r="W140" i="8"/>
  <c r="T10" i="11"/>
  <c r="V157" i="8"/>
  <c r="V160" i="8" s="1"/>
  <c r="V148" i="8"/>
  <c r="Z34" i="4"/>
  <c r="Y35" i="4"/>
  <c r="W88" i="9"/>
  <c r="W91" i="9" s="1"/>
  <c r="V148" i="6"/>
  <c r="V157" i="6"/>
  <c r="AB120" i="8"/>
  <c r="AA121" i="8"/>
  <c r="AA73" i="4"/>
  <c r="Z74" i="4"/>
  <c r="X98" i="9"/>
  <c r="X94" i="9"/>
  <c r="X82" i="5"/>
  <c r="X87" i="5"/>
  <c r="X128" i="8"/>
  <c r="X26" i="4"/>
  <c r="X128" i="6"/>
  <c r="X135" i="6"/>
  <c r="X126" i="6"/>
  <c r="X127" i="6"/>
  <c r="X135" i="8"/>
  <c r="X138" i="8" s="1"/>
  <c r="X127" i="8"/>
  <c r="X126" i="8"/>
  <c r="AB81" i="9"/>
  <c r="AA82" i="9"/>
  <c r="AA106" i="9" s="1"/>
  <c r="AA108" i="9" s="1"/>
  <c r="Q78" i="5"/>
  <c r="P98" i="5"/>
  <c r="P9" i="7" s="1"/>
  <c r="P10" i="7" s="1"/>
  <c r="V132" i="8"/>
  <c r="U166" i="8"/>
  <c r="U8" i="11" s="1"/>
  <c r="T166" i="6"/>
  <c r="T8" i="7" s="1"/>
  <c r="U160" i="6"/>
  <c r="V7" i="11"/>
  <c r="V82" i="4"/>
  <c r="W80" i="4"/>
  <c r="W129" i="6"/>
  <c r="W132" i="6" s="1"/>
  <c r="W149" i="8"/>
  <c r="W149" i="6"/>
  <c r="W146" i="6"/>
  <c r="W147" i="6" s="1"/>
  <c r="W146" i="8"/>
  <c r="W147" i="8" s="1"/>
  <c r="Y68" i="4"/>
  <c r="Y69" i="4"/>
  <c r="X97" i="9"/>
  <c r="X99" i="9"/>
  <c r="X95" i="9"/>
  <c r="X93" i="9"/>
  <c r="X86" i="9"/>
  <c r="X87" i="9"/>
  <c r="X86" i="5"/>
  <c r="X88" i="5"/>
  <c r="X81" i="5"/>
  <c r="X85" i="5"/>
  <c r="X74" i="5"/>
  <c r="X83" i="5"/>
  <c r="X73" i="5"/>
  <c r="AA18" i="4"/>
  <c r="Z19" i="4"/>
  <c r="Z22" i="4" s="1"/>
  <c r="Z137" i="6" s="1"/>
  <c r="Z69" i="5"/>
  <c r="Z94" i="5" s="1"/>
  <c r="Z96" i="5" s="1"/>
  <c r="AA68" i="5"/>
  <c r="W129" i="8"/>
  <c r="X154" i="8"/>
  <c r="X150" i="8"/>
  <c r="X154" i="6"/>
  <c r="X156" i="6" s="1"/>
  <c r="X150" i="6"/>
  <c r="X152" i="6" s="1"/>
  <c r="X145" i="6"/>
  <c r="X145" i="8"/>
  <c r="W7" i="7"/>
  <c r="X79" i="4"/>
  <c r="Y25" i="4"/>
  <c r="Y136" i="8" s="1"/>
  <c r="Y46" i="4"/>
  <c r="Y47" i="4" s="1"/>
  <c r="Y38" i="4"/>
  <c r="Y28" i="4"/>
  <c r="Y41" i="4"/>
  <c r="U110" i="9"/>
  <c r="U9" i="11" s="1"/>
  <c r="AB20" i="4" l="1"/>
  <c r="AA24" i="4"/>
  <c r="AA137" i="8" s="1"/>
  <c r="Y136" i="6"/>
  <c r="X138" i="6"/>
  <c r="X140" i="6" s="1"/>
  <c r="AC16" i="4"/>
  <c r="AB27" i="4"/>
  <c r="W101" i="9"/>
  <c r="W104" i="9" s="1"/>
  <c r="AD121" i="6"/>
  <c r="AE120" i="6"/>
  <c r="X155" i="8"/>
  <c r="X156" i="8" s="1"/>
  <c r="X151" i="8"/>
  <c r="X152" i="8" s="1"/>
  <c r="W90" i="5"/>
  <c r="W92" i="5" s="1"/>
  <c r="AM60" i="4"/>
  <c r="AL61" i="4"/>
  <c r="AL63" i="4"/>
  <c r="AL62" i="4"/>
  <c r="AH37" i="4"/>
  <c r="AH40" i="4"/>
  <c r="X88" i="9"/>
  <c r="X91" i="9" s="1"/>
  <c r="AC24" i="1"/>
  <c r="AB53" i="4"/>
  <c r="AB54" i="4"/>
  <c r="U10" i="11"/>
  <c r="W157" i="8"/>
  <c r="W160" i="8" s="1"/>
  <c r="W148" i="8"/>
  <c r="W148" i="6"/>
  <c r="W157" i="6"/>
  <c r="X75" i="5"/>
  <c r="Y97" i="9"/>
  <c r="Y99" i="9"/>
  <c r="Y95" i="9"/>
  <c r="Y93" i="9"/>
  <c r="Y87" i="9"/>
  <c r="Y86" i="9"/>
  <c r="Y86" i="5"/>
  <c r="Y81" i="5"/>
  <c r="Y88" i="5"/>
  <c r="Y83" i="5"/>
  <c r="Y74" i="5"/>
  <c r="Y85" i="5"/>
  <c r="Y73" i="5"/>
  <c r="AB68" i="5"/>
  <c r="AA69" i="5"/>
  <c r="AA94" i="5" s="1"/>
  <c r="AA96" i="5" s="1"/>
  <c r="AA19" i="4"/>
  <c r="AA22" i="4" s="1"/>
  <c r="AA137" i="6" s="1"/>
  <c r="AB18" i="4"/>
  <c r="X129" i="8"/>
  <c r="X129" i="6"/>
  <c r="X132" i="6" s="1"/>
  <c r="X84" i="5"/>
  <c r="AB73" i="4"/>
  <c r="AA74" i="4"/>
  <c r="Y154" i="8"/>
  <c r="Y150" i="8"/>
  <c r="Y150" i="6"/>
  <c r="Y152" i="6" s="1"/>
  <c r="Y154" i="6"/>
  <c r="Y156" i="6" s="1"/>
  <c r="Y145" i="8"/>
  <c r="Y145" i="6"/>
  <c r="W132" i="8"/>
  <c r="V166" i="8"/>
  <c r="V8" i="11" s="1"/>
  <c r="X149" i="8"/>
  <c r="X149" i="6"/>
  <c r="X146" i="6"/>
  <c r="X147" i="6" s="1"/>
  <c r="X146" i="8"/>
  <c r="X147" i="8" s="1"/>
  <c r="X96" i="9"/>
  <c r="AA34" i="4"/>
  <c r="Z35" i="4"/>
  <c r="Y98" i="9"/>
  <c r="Y94" i="9"/>
  <c r="Y82" i="5"/>
  <c r="Y87" i="5"/>
  <c r="Y128" i="8"/>
  <c r="Y26" i="4"/>
  <c r="Y128" i="6"/>
  <c r="Y126" i="8"/>
  <c r="Y135" i="6"/>
  <c r="Y127" i="6"/>
  <c r="Y135" i="8"/>
  <c r="Y138" i="8" s="1"/>
  <c r="Y126" i="6"/>
  <c r="Y127" i="8"/>
  <c r="V160" i="6"/>
  <c r="U166" i="6"/>
  <c r="U8" i="7" s="1"/>
  <c r="AC81" i="9"/>
  <c r="AB82" i="9"/>
  <c r="AB106" i="9" s="1"/>
  <c r="AB108" i="9" s="1"/>
  <c r="X140" i="8"/>
  <c r="X100" i="9"/>
  <c r="AC120" i="8"/>
  <c r="AB121" i="8"/>
  <c r="X7" i="7"/>
  <c r="Y79" i="4"/>
  <c r="Z25" i="4"/>
  <c r="Z136" i="8" s="1"/>
  <c r="Z38" i="4"/>
  <c r="Z46" i="4"/>
  <c r="Z47" i="4" s="1"/>
  <c r="Z28" i="4"/>
  <c r="Z41" i="4"/>
  <c r="W7" i="11"/>
  <c r="W82" i="4"/>
  <c r="X80" i="4"/>
  <c r="R78" i="5"/>
  <c r="Q98" i="5"/>
  <c r="Q9" i="7" s="1"/>
  <c r="Q10" i="7" s="1"/>
  <c r="X89" i="5"/>
  <c r="Z69" i="4"/>
  <c r="Z68" i="4"/>
  <c r="V110" i="9"/>
  <c r="V9" i="11" s="1"/>
  <c r="AC20" i="4" l="1"/>
  <c r="AB24" i="4"/>
  <c r="AB137" i="8" s="1"/>
  <c r="Z136" i="6"/>
  <c r="Y138" i="6"/>
  <c r="Y140" i="6" s="1"/>
  <c r="AD16" i="4"/>
  <c r="AC27" i="4"/>
  <c r="X90" i="5"/>
  <c r="X92" i="5" s="1"/>
  <c r="AF120" i="6"/>
  <c r="AE121" i="6"/>
  <c r="Y155" i="8"/>
  <c r="Y156" i="8" s="1"/>
  <c r="Y151" i="8"/>
  <c r="Y152" i="8" s="1"/>
  <c r="Y96" i="9"/>
  <c r="Y75" i="5"/>
  <c r="AN60" i="4"/>
  <c r="AM62" i="4"/>
  <c r="AM61" i="4"/>
  <c r="AM63" i="4"/>
  <c r="Y84" i="5"/>
  <c r="Y140" i="8"/>
  <c r="Y100" i="9"/>
  <c r="AI37" i="4"/>
  <c r="AI40" i="4"/>
  <c r="Y89" i="5"/>
  <c r="AC54" i="4"/>
  <c r="AD24" i="1"/>
  <c r="AC53" i="4"/>
  <c r="X101" i="9"/>
  <c r="X104" i="9" s="1"/>
  <c r="Y88" i="9"/>
  <c r="Y91" i="9" s="1"/>
  <c r="V10" i="11"/>
  <c r="X157" i="8"/>
  <c r="X160" i="8" s="1"/>
  <c r="X148" i="8"/>
  <c r="X157" i="6"/>
  <c r="X148" i="6"/>
  <c r="S78" i="5"/>
  <c r="R98" i="5"/>
  <c r="R9" i="7" s="1"/>
  <c r="R10" i="7" s="1"/>
  <c r="Z97" i="9"/>
  <c r="Z99" i="9"/>
  <c r="Z95" i="9"/>
  <c r="Z93" i="9"/>
  <c r="Z87" i="9"/>
  <c r="Z86" i="9"/>
  <c r="Z86" i="5"/>
  <c r="Z83" i="5"/>
  <c r="Z74" i="5"/>
  <c r="Z81" i="5"/>
  <c r="Z85" i="5"/>
  <c r="Z88" i="5"/>
  <c r="Z73" i="5"/>
  <c r="W160" i="6"/>
  <c r="V166" i="6"/>
  <c r="V8" i="7" s="1"/>
  <c r="X7" i="11"/>
  <c r="X82" i="4"/>
  <c r="Y80" i="4"/>
  <c r="Z98" i="9"/>
  <c r="Z94" i="9"/>
  <c r="Z82" i="5"/>
  <c r="Z87" i="5"/>
  <c r="Z128" i="8"/>
  <c r="Z26" i="4"/>
  <c r="Z128" i="6"/>
  <c r="Z127" i="8"/>
  <c r="Z126" i="8"/>
  <c r="Z135" i="6"/>
  <c r="Z135" i="8"/>
  <c r="Z138" i="8" s="1"/>
  <c r="Z126" i="6"/>
  <c r="Z127" i="6"/>
  <c r="Z150" i="8"/>
  <c r="Z154" i="8"/>
  <c r="Z154" i="6"/>
  <c r="Z156" i="6" s="1"/>
  <c r="Z150" i="6"/>
  <c r="Z152" i="6" s="1"/>
  <c r="Z145" i="8"/>
  <c r="Z145" i="6"/>
  <c r="AD120" i="8"/>
  <c r="AC121" i="8"/>
  <c r="AB34" i="4"/>
  <c r="AA35" i="4"/>
  <c r="X132" i="8"/>
  <c r="W166" i="8"/>
  <c r="W8" i="11" s="1"/>
  <c r="AA69" i="4"/>
  <c r="AA68" i="4"/>
  <c r="AB69" i="5"/>
  <c r="AB94" i="5" s="1"/>
  <c r="AB96" i="5" s="1"/>
  <c r="AC68" i="5"/>
  <c r="Y7" i="7"/>
  <c r="Z79" i="4"/>
  <c r="AC82" i="9"/>
  <c r="AC106" i="9" s="1"/>
  <c r="AC108" i="9" s="1"/>
  <c r="AD81" i="9"/>
  <c r="Y129" i="6"/>
  <c r="Y132" i="6" s="1"/>
  <c r="Y129" i="8"/>
  <c r="Y149" i="8"/>
  <c r="Y149" i="6"/>
  <c r="Y146" i="6"/>
  <c r="Y147" i="6" s="1"/>
  <c r="Y146" i="8"/>
  <c r="Y147" i="8" s="1"/>
  <c r="AC73" i="4"/>
  <c r="AB74" i="4"/>
  <c r="AB19" i="4"/>
  <c r="AB22" i="4" s="1"/>
  <c r="AB137" i="6" s="1"/>
  <c r="AC18" i="4"/>
  <c r="AA25" i="4"/>
  <c r="AA136" i="8" s="1"/>
  <c r="AA41" i="4"/>
  <c r="AA28" i="4"/>
  <c r="AA46" i="4"/>
  <c r="AA47" i="4" s="1"/>
  <c r="AA38" i="4"/>
  <c r="W110" i="9"/>
  <c r="W9" i="11" s="1"/>
  <c r="AD20" i="4" l="1"/>
  <c r="AC24" i="4"/>
  <c r="AC137" i="8" s="1"/>
  <c r="AA136" i="6"/>
  <c r="Z138" i="6"/>
  <c r="Z140" i="6" s="1"/>
  <c r="AE16" i="4"/>
  <c r="AD27" i="4"/>
  <c r="Y101" i="9"/>
  <c r="Y104" i="9" s="1"/>
  <c r="Z75" i="5"/>
  <c r="AG120" i="6"/>
  <c r="AF121" i="6"/>
  <c r="Z100" i="9"/>
  <c r="Z155" i="8"/>
  <c r="Z156" i="8" s="1"/>
  <c r="Z151" i="8"/>
  <c r="Z152" i="8" s="1"/>
  <c r="Y90" i="5"/>
  <c r="Y92" i="5" s="1"/>
  <c r="Z84" i="5"/>
  <c r="AO60" i="4"/>
  <c r="AN63" i="4"/>
  <c r="AN61" i="4"/>
  <c r="AN62" i="4"/>
  <c r="AJ37" i="4"/>
  <c r="AJ40" i="4"/>
  <c r="AD54" i="4"/>
  <c r="AE24" i="1"/>
  <c r="AD53" i="4"/>
  <c r="Z140" i="8"/>
  <c r="Z96" i="9"/>
  <c r="Z88" i="9"/>
  <c r="Z91" i="9" s="1"/>
  <c r="Z129" i="8"/>
  <c r="W10" i="11"/>
  <c r="Y157" i="8"/>
  <c r="Y160" i="8" s="1"/>
  <c r="Y148" i="8"/>
  <c r="Y157" i="6"/>
  <c r="Y148" i="6"/>
  <c r="AC69" i="5"/>
  <c r="AC94" i="5" s="1"/>
  <c r="AC96" i="5" s="1"/>
  <c r="AD68" i="5"/>
  <c r="AC19" i="4"/>
  <c r="AC22" i="4" s="1"/>
  <c r="AC137" i="6" s="1"/>
  <c r="AD18" i="4"/>
  <c r="Y132" i="8"/>
  <c r="X166" i="8"/>
  <c r="X8" i="11" s="1"/>
  <c r="Z89" i="5"/>
  <c r="Y7" i="11"/>
  <c r="Y82" i="4"/>
  <c r="Z80" i="4"/>
  <c r="T78" i="5"/>
  <c r="S98" i="5"/>
  <c r="S9" i="7" s="1"/>
  <c r="S10" i="7" s="1"/>
  <c r="W166" i="6"/>
  <c r="W8" i="7" s="1"/>
  <c r="X160" i="6"/>
  <c r="AA98" i="9"/>
  <c r="AA94" i="9"/>
  <c r="AA87" i="5"/>
  <c r="AA82" i="5"/>
  <c r="AB25" i="4"/>
  <c r="AB136" i="8" s="1"/>
  <c r="AB28" i="4"/>
  <c r="AB38" i="4"/>
  <c r="AB46" i="4"/>
  <c r="AB47" i="4" s="1"/>
  <c r="AB41" i="4"/>
  <c r="Z7" i="7"/>
  <c r="AA79" i="4"/>
  <c r="AA154" i="8"/>
  <c r="AA150" i="8"/>
  <c r="AA154" i="6"/>
  <c r="AA156" i="6" s="1"/>
  <c r="AA150" i="6"/>
  <c r="AA152" i="6" s="1"/>
  <c r="AA145" i="8"/>
  <c r="AA145" i="6"/>
  <c r="AA97" i="9"/>
  <c r="AA99" i="9"/>
  <c r="AA93" i="9"/>
  <c r="AA95" i="9"/>
  <c r="AA86" i="9"/>
  <c r="AA87" i="9"/>
  <c r="AA86" i="5"/>
  <c r="AA81" i="5"/>
  <c r="AA83" i="5"/>
  <c r="AA88" i="5"/>
  <c r="AA74" i="5"/>
  <c r="AA85" i="5"/>
  <c r="AA73" i="5"/>
  <c r="AA128" i="8"/>
  <c r="AA26" i="4"/>
  <c r="AA128" i="6"/>
  <c r="AA127" i="6"/>
  <c r="AA127" i="8"/>
  <c r="AA135" i="6"/>
  <c r="AA126" i="6"/>
  <c r="AA135" i="8"/>
  <c r="AA138" i="8" s="1"/>
  <c r="AA126" i="8"/>
  <c r="AB68" i="4"/>
  <c r="AB69" i="4"/>
  <c r="AC34" i="4"/>
  <c r="AB35" i="4"/>
  <c r="Z129" i="6"/>
  <c r="Z132" i="6" s="1"/>
  <c r="Z149" i="8"/>
  <c r="Z149" i="6"/>
  <c r="Z146" i="6"/>
  <c r="Z147" i="6" s="1"/>
  <c r="Z146" i="8"/>
  <c r="Z147" i="8" s="1"/>
  <c r="AC74" i="4"/>
  <c r="AD73" i="4"/>
  <c r="AD82" i="9"/>
  <c r="AD106" i="9" s="1"/>
  <c r="AD108" i="9" s="1"/>
  <c r="AE81" i="9"/>
  <c r="AD121" i="8"/>
  <c r="AE120" i="8"/>
  <c r="X110" i="9"/>
  <c r="X9" i="11" s="1"/>
  <c r="AE20" i="4" l="1"/>
  <c r="AD24" i="4"/>
  <c r="AD137" i="8" s="1"/>
  <c r="AB136" i="6"/>
  <c r="AA138" i="6"/>
  <c r="AA140" i="6" s="1"/>
  <c r="AF16" i="4"/>
  <c r="AE27" i="4"/>
  <c r="AH120" i="6"/>
  <c r="AG121" i="6"/>
  <c r="Z101" i="9"/>
  <c r="Z104" i="9" s="1"/>
  <c r="AA155" i="8"/>
  <c r="AA156" i="8" s="1"/>
  <c r="AA151" i="8"/>
  <c r="AA152" i="8" s="1"/>
  <c r="Z90" i="5"/>
  <c r="Z92" i="5" s="1"/>
  <c r="AA140" i="8"/>
  <c r="AP60" i="4"/>
  <c r="AO63" i="4"/>
  <c r="AO62" i="4"/>
  <c r="AO61" i="4"/>
  <c r="AA75" i="5"/>
  <c r="AK37" i="4"/>
  <c r="AK40" i="4"/>
  <c r="AF24" i="1"/>
  <c r="AE53" i="4"/>
  <c r="AE54" i="4"/>
  <c r="AA129" i="6"/>
  <c r="AA132" i="6" s="1"/>
  <c r="AA129" i="8"/>
  <c r="X10" i="11"/>
  <c r="Z157" i="8"/>
  <c r="Z160" i="8" s="1"/>
  <c r="Z148" i="8"/>
  <c r="Z157" i="6"/>
  <c r="Z148" i="6"/>
  <c r="AF120" i="8"/>
  <c r="AE121" i="8"/>
  <c r="AE73" i="4"/>
  <c r="AD74" i="4"/>
  <c r="AA88" i="9"/>
  <c r="AA91" i="9" s="1"/>
  <c r="AA84" i="5"/>
  <c r="X166" i="6"/>
  <c r="X8" i="7" s="1"/>
  <c r="Y160" i="6"/>
  <c r="Z132" i="8"/>
  <c r="Y166" i="8"/>
  <c r="Y8" i="11" s="1"/>
  <c r="AA7" i="7"/>
  <c r="AB79" i="4"/>
  <c r="AB97" i="9"/>
  <c r="AB99" i="9"/>
  <c r="AB93" i="9"/>
  <c r="AB95" i="9"/>
  <c r="AB86" i="9"/>
  <c r="AB87" i="9"/>
  <c r="AB86" i="5"/>
  <c r="AB88" i="5"/>
  <c r="AB85" i="5"/>
  <c r="AB74" i="5"/>
  <c r="AB83" i="5"/>
  <c r="AB81" i="5"/>
  <c r="AB73" i="5"/>
  <c r="AA89" i="5"/>
  <c r="U78" i="5"/>
  <c r="T98" i="5"/>
  <c r="T9" i="7" s="1"/>
  <c r="T10" i="7" s="1"/>
  <c r="AC68" i="4"/>
  <c r="AC69" i="4"/>
  <c r="AB154" i="8"/>
  <c r="AB150" i="8"/>
  <c r="AB150" i="6"/>
  <c r="AB152" i="6" s="1"/>
  <c r="AB154" i="6"/>
  <c r="AB156" i="6" s="1"/>
  <c r="AB145" i="6"/>
  <c r="AB145" i="8"/>
  <c r="AF81" i="9"/>
  <c r="AE82" i="9"/>
  <c r="AE106" i="9" s="1"/>
  <c r="AE108" i="9" s="1"/>
  <c r="AD34" i="4"/>
  <c r="AC35" i="4"/>
  <c r="AA149" i="8"/>
  <c r="AA149" i="6"/>
  <c r="AA146" i="6"/>
  <c r="AA147" i="6" s="1"/>
  <c r="AA146" i="8"/>
  <c r="AA147" i="8" s="1"/>
  <c r="AA96" i="9"/>
  <c r="Z7" i="11"/>
  <c r="Z82" i="4"/>
  <c r="AA80" i="4"/>
  <c r="AE18" i="4"/>
  <c r="AD19" i="4"/>
  <c r="AD22" i="4" s="1"/>
  <c r="AD137" i="6" s="1"/>
  <c r="AD69" i="5"/>
  <c r="AD94" i="5" s="1"/>
  <c r="AD96" i="5" s="1"/>
  <c r="AE68" i="5"/>
  <c r="AB98" i="9"/>
  <c r="AB94" i="9"/>
  <c r="AB87" i="5"/>
  <c r="AB82" i="5"/>
  <c r="AB128" i="8"/>
  <c r="AB128" i="6"/>
  <c r="AB26" i="4"/>
  <c r="AB127" i="8"/>
  <c r="AB135" i="8"/>
  <c r="AB138" i="8" s="1"/>
  <c r="AB135" i="6"/>
  <c r="AB126" i="6"/>
  <c r="AB127" i="6"/>
  <c r="AB126" i="8"/>
  <c r="AA100" i="9"/>
  <c r="AC25" i="4"/>
  <c r="AC136" i="8" s="1"/>
  <c r="AC46" i="4"/>
  <c r="AC47" i="4" s="1"/>
  <c r="AC38" i="4"/>
  <c r="AC28" i="4"/>
  <c r="AC41" i="4"/>
  <c r="Y110" i="9"/>
  <c r="Y9" i="11" s="1"/>
  <c r="AF20" i="4" l="1"/>
  <c r="AE24" i="4"/>
  <c r="AE137" i="8" s="1"/>
  <c r="AC136" i="6"/>
  <c r="AB138" i="6"/>
  <c r="AB140" i="6" s="1"/>
  <c r="AG16" i="4"/>
  <c r="AF27" i="4"/>
  <c r="AH121" i="6"/>
  <c r="AI120" i="6"/>
  <c r="AB100" i="9"/>
  <c r="AB155" i="8"/>
  <c r="AB156" i="8" s="1"/>
  <c r="AB151" i="8"/>
  <c r="AB152" i="8" s="1"/>
  <c r="AP61" i="4"/>
  <c r="AP63" i="4"/>
  <c r="AP62" i="4"/>
  <c r="AA90" i="5"/>
  <c r="AA92" i="5" s="1"/>
  <c r="AB84" i="5"/>
  <c r="AL37" i="4"/>
  <c r="AL40" i="4"/>
  <c r="AG24" i="1"/>
  <c r="AF53" i="4"/>
  <c r="AF54" i="4"/>
  <c r="AB96" i="9"/>
  <c r="Y10" i="11"/>
  <c r="AA157" i="8"/>
  <c r="AA160" i="8" s="1"/>
  <c r="AA148" i="8"/>
  <c r="AA148" i="6"/>
  <c r="AA157" i="6"/>
  <c r="AC97" i="9"/>
  <c r="AC99" i="9"/>
  <c r="AC93" i="9"/>
  <c r="AC95" i="9"/>
  <c r="AC86" i="9"/>
  <c r="AC87" i="9"/>
  <c r="AC86" i="5"/>
  <c r="AC83" i="5"/>
  <c r="AC85" i="5"/>
  <c r="AC88" i="5"/>
  <c r="AC74" i="5"/>
  <c r="AC81" i="5"/>
  <c r="AC73" i="5"/>
  <c r="AB129" i="8"/>
  <c r="AB140" i="8"/>
  <c r="AB149" i="8"/>
  <c r="AB149" i="6"/>
  <c r="AB146" i="6"/>
  <c r="AB147" i="6" s="1"/>
  <c r="AB146" i="8"/>
  <c r="AB147" i="8" s="1"/>
  <c r="AB89" i="5"/>
  <c r="AE19" i="4"/>
  <c r="AE22" i="4" s="1"/>
  <c r="AE137" i="6" s="1"/>
  <c r="AF18" i="4"/>
  <c r="AA101" i="9"/>
  <c r="AA104" i="9" s="1"/>
  <c r="AG81" i="9"/>
  <c r="AF82" i="9"/>
  <c r="AF106" i="9" s="1"/>
  <c r="AF108" i="9" s="1"/>
  <c r="V78" i="5"/>
  <c r="U98" i="5"/>
  <c r="U9" i="7" s="1"/>
  <c r="U10" i="7" s="1"/>
  <c r="AA132" i="8"/>
  <c r="Z166" i="8"/>
  <c r="Z8" i="11" s="1"/>
  <c r="AF73" i="4"/>
  <c r="AE74" i="4"/>
  <c r="AF68" i="5"/>
  <c r="AE69" i="5"/>
  <c r="AE94" i="5" s="1"/>
  <c r="AE96" i="5" s="1"/>
  <c r="AC150" i="8"/>
  <c r="AC154" i="8"/>
  <c r="AC154" i="6"/>
  <c r="AC156" i="6" s="1"/>
  <c r="AC150" i="6"/>
  <c r="AC152" i="6" s="1"/>
  <c r="AC145" i="6"/>
  <c r="AC145" i="8"/>
  <c r="Z160" i="6"/>
  <c r="Y166" i="6"/>
  <c r="Y8" i="7" s="1"/>
  <c r="AA7" i="11"/>
  <c r="AB80" i="4"/>
  <c r="AA82" i="4"/>
  <c r="AC98" i="9"/>
  <c r="AC94" i="9"/>
  <c r="AC82" i="5"/>
  <c r="AC87" i="5"/>
  <c r="AC128" i="8"/>
  <c r="AC26" i="4"/>
  <c r="AC128" i="6"/>
  <c r="AC135" i="6"/>
  <c r="AC126" i="8"/>
  <c r="AC126" i="6"/>
  <c r="AC127" i="8"/>
  <c r="AC127" i="6"/>
  <c r="AC135" i="8"/>
  <c r="AC138" i="8" s="1"/>
  <c r="AB129" i="6"/>
  <c r="AB132" i="6" s="1"/>
  <c r="AE34" i="4"/>
  <c r="AD35" i="4"/>
  <c r="AB75" i="5"/>
  <c r="AB88" i="9"/>
  <c r="AB91" i="9" s="1"/>
  <c r="AG120" i="8"/>
  <c r="AF121" i="8"/>
  <c r="AD25" i="4"/>
  <c r="AD136" i="8" s="1"/>
  <c r="AD46" i="4"/>
  <c r="AD47" i="4" s="1"/>
  <c r="AD38" i="4"/>
  <c r="AD28" i="4"/>
  <c r="AD41" i="4"/>
  <c r="AB7" i="7"/>
  <c r="AC79" i="4"/>
  <c r="AD69" i="4"/>
  <c r="AD68" i="4"/>
  <c r="Z110" i="9"/>
  <c r="Z9" i="11" s="1"/>
  <c r="AG20" i="4" l="1"/>
  <c r="AF24" i="4"/>
  <c r="AF137" i="8" s="1"/>
  <c r="AB90" i="5"/>
  <c r="AD136" i="6"/>
  <c r="AC138" i="6"/>
  <c r="AC140" i="6" s="1"/>
  <c r="AH16" i="4"/>
  <c r="AG27" i="4"/>
  <c r="AC100" i="9"/>
  <c r="AI121" i="6"/>
  <c r="AJ120" i="6"/>
  <c r="AC84" i="5"/>
  <c r="AC96" i="9"/>
  <c r="AB101" i="9"/>
  <c r="AB104" i="9" s="1"/>
  <c r="AC155" i="8"/>
  <c r="AC156" i="8" s="1"/>
  <c r="AC151" i="8"/>
  <c r="AC152" i="8" s="1"/>
  <c r="Z10" i="11"/>
  <c r="AM37" i="4"/>
  <c r="AM40" i="4"/>
  <c r="AC75" i="5"/>
  <c r="AC89" i="5"/>
  <c r="AG54" i="4"/>
  <c r="AH24" i="1"/>
  <c r="AG53" i="4"/>
  <c r="AC140" i="8"/>
  <c r="AD98" i="9"/>
  <c r="AD94" i="9"/>
  <c r="AD82" i="5"/>
  <c r="AD87" i="5"/>
  <c r="AD26" i="4"/>
  <c r="AD128" i="8"/>
  <c r="AD128" i="6"/>
  <c r="AD135" i="6"/>
  <c r="AD126" i="6"/>
  <c r="AD127" i="6"/>
  <c r="AD135" i="8"/>
  <c r="AD138" i="8" s="1"/>
  <c r="AD126" i="8"/>
  <c r="AD127" i="8"/>
  <c r="AB157" i="8"/>
  <c r="AB160" i="8" s="1"/>
  <c r="AB148" i="8"/>
  <c r="AC7" i="7"/>
  <c r="AD79" i="4"/>
  <c r="AD150" i="8"/>
  <c r="AD154" i="8"/>
  <c r="AD150" i="6"/>
  <c r="AD152" i="6" s="1"/>
  <c r="AD154" i="6"/>
  <c r="AD156" i="6" s="1"/>
  <c r="AD145" i="6"/>
  <c r="AD145" i="8"/>
  <c r="AC149" i="8"/>
  <c r="AC149" i="6"/>
  <c r="AC146" i="6"/>
  <c r="AC147" i="6" s="1"/>
  <c r="AC146" i="8"/>
  <c r="AC147" i="8" s="1"/>
  <c r="AE69" i="4"/>
  <c r="AE68" i="4"/>
  <c r="AG82" i="9"/>
  <c r="AG106" i="9" s="1"/>
  <c r="AG108" i="9" s="1"/>
  <c r="AH81" i="9"/>
  <c r="AC88" i="9"/>
  <c r="AC91" i="9" s="1"/>
  <c r="AH120" i="8"/>
  <c r="AG121" i="8"/>
  <c r="AF34" i="4"/>
  <c r="AE35" i="4"/>
  <c r="AG73" i="4"/>
  <c r="AF74" i="4"/>
  <c r="AD97" i="9"/>
  <c r="AD99" i="9"/>
  <c r="AD95" i="9"/>
  <c r="AD93" i="9"/>
  <c r="AD86" i="9"/>
  <c r="AD87" i="9"/>
  <c r="AD86" i="5"/>
  <c r="AD83" i="5"/>
  <c r="AD81" i="5"/>
  <c r="AD85" i="5"/>
  <c r="AD74" i="5"/>
  <c r="AD88" i="5"/>
  <c r="AD73" i="5"/>
  <c r="AB157" i="6"/>
  <c r="AB148" i="6"/>
  <c r="AC129" i="6"/>
  <c r="AC132" i="6" s="1"/>
  <c r="W78" i="5"/>
  <c r="V98" i="5"/>
  <c r="V9" i="7" s="1"/>
  <c r="V10" i="7" s="1"/>
  <c r="AF19" i="4"/>
  <c r="AF22" i="4" s="1"/>
  <c r="AF137" i="6" s="1"/>
  <c r="AG18" i="4"/>
  <c r="AC129" i="8"/>
  <c r="AB7" i="11"/>
  <c r="AB82" i="4"/>
  <c r="AC80" i="4"/>
  <c r="Z166" i="6"/>
  <c r="Z8" i="7" s="1"/>
  <c r="AA160" i="6"/>
  <c r="AF69" i="5"/>
  <c r="AF94" i="5" s="1"/>
  <c r="AF96" i="5" s="1"/>
  <c r="AG68" i="5"/>
  <c r="AB132" i="8"/>
  <c r="AA166" i="8"/>
  <c r="AA8" i="11" s="1"/>
  <c r="AE25" i="4"/>
  <c r="AE136" i="8" s="1"/>
  <c r="AE46" i="4"/>
  <c r="AE47" i="4" s="1"/>
  <c r="AE38" i="4"/>
  <c r="AE28" i="4"/>
  <c r="AE41" i="4"/>
  <c r="AA110" i="9"/>
  <c r="AA9" i="11" s="1"/>
  <c r="AB92" i="5"/>
  <c r="AH20" i="4" l="1"/>
  <c r="AG24" i="4"/>
  <c r="AG137" i="8" s="1"/>
  <c r="AE136" i="6"/>
  <c r="AD138" i="6"/>
  <c r="AD140" i="6" s="1"/>
  <c r="AI16" i="4"/>
  <c r="AH27" i="4"/>
  <c r="AC101" i="9"/>
  <c r="AC104" i="9" s="1"/>
  <c r="AC90" i="5"/>
  <c r="AC92" i="5" s="1"/>
  <c r="AJ121" i="6"/>
  <c r="AK120" i="6"/>
  <c r="AD155" i="8"/>
  <c r="AD156" i="8" s="1"/>
  <c r="AD151" i="8"/>
  <c r="AD152" i="8" s="1"/>
  <c r="AN37" i="4"/>
  <c r="AN40" i="4"/>
  <c r="AH54" i="4"/>
  <c r="AI24" i="1"/>
  <c r="AH53" i="4"/>
  <c r="AD88" i="9"/>
  <c r="AD91" i="9" s="1"/>
  <c r="AD129" i="8"/>
  <c r="AA10" i="11"/>
  <c r="AC157" i="8"/>
  <c r="AC160" i="8" s="1"/>
  <c r="AC148" i="8"/>
  <c r="AA166" i="6"/>
  <c r="AA8" i="7" s="1"/>
  <c r="AB160" i="6"/>
  <c r="AE97" i="9"/>
  <c r="AE99" i="9"/>
  <c r="AE95" i="9"/>
  <c r="AE93" i="9"/>
  <c r="AE87" i="9"/>
  <c r="AE86" i="9"/>
  <c r="AE86" i="5"/>
  <c r="AE83" i="5"/>
  <c r="AE74" i="5"/>
  <c r="AE85" i="5"/>
  <c r="AE81" i="5"/>
  <c r="AE88" i="5"/>
  <c r="AE73" i="5"/>
  <c r="AC132" i="8"/>
  <c r="AB166" i="8"/>
  <c r="AB8" i="11" s="1"/>
  <c r="AG74" i="4"/>
  <c r="AH73" i="4"/>
  <c r="AG34" i="4"/>
  <c r="AF35" i="4"/>
  <c r="AD140" i="8"/>
  <c r="AD149" i="8"/>
  <c r="AD149" i="6"/>
  <c r="AD146" i="6"/>
  <c r="AD147" i="6" s="1"/>
  <c r="AD146" i="8"/>
  <c r="AD147" i="8" s="1"/>
  <c r="AD100" i="9"/>
  <c r="AC7" i="11"/>
  <c r="AC82" i="4"/>
  <c r="AD80" i="4"/>
  <c r="X78" i="5"/>
  <c r="W98" i="5"/>
  <c r="W9" i="7" s="1"/>
  <c r="W10" i="7" s="1"/>
  <c r="AD75" i="5"/>
  <c r="AC148" i="6"/>
  <c r="AC157" i="6"/>
  <c r="AI81" i="9"/>
  <c r="AH82" i="9"/>
  <c r="AH106" i="9" s="1"/>
  <c r="AH108" i="9" s="1"/>
  <c r="AD89" i="5"/>
  <c r="AG69" i="5"/>
  <c r="AG94" i="5" s="1"/>
  <c r="AG96" i="5" s="1"/>
  <c r="AH68" i="5"/>
  <c r="AE98" i="9"/>
  <c r="AE94" i="9"/>
  <c r="AE87" i="5"/>
  <c r="AE82" i="5"/>
  <c r="AE128" i="8"/>
  <c r="AE128" i="6"/>
  <c r="AE26" i="4"/>
  <c r="AE126" i="6"/>
  <c r="AE126" i="8"/>
  <c r="AE135" i="6"/>
  <c r="AE127" i="6"/>
  <c r="AE135" i="8"/>
  <c r="AE138" i="8" s="1"/>
  <c r="AE127" i="8"/>
  <c r="AG19" i="4"/>
  <c r="AG22" i="4" s="1"/>
  <c r="AG137" i="6" s="1"/>
  <c r="AH18" i="4"/>
  <c r="AH121" i="8"/>
  <c r="AI120" i="8"/>
  <c r="AD7" i="7"/>
  <c r="AE79" i="4"/>
  <c r="AD129" i="6"/>
  <c r="AD132" i="6" s="1"/>
  <c r="AD84" i="5"/>
  <c r="AF25" i="4"/>
  <c r="AF136" i="8" s="1"/>
  <c r="AF28" i="4"/>
  <c r="AF41" i="4"/>
  <c r="AF38" i="4"/>
  <c r="AF46" i="4"/>
  <c r="AF47" i="4" s="1"/>
  <c r="AF68" i="4"/>
  <c r="AF69" i="4"/>
  <c r="AE150" i="8"/>
  <c r="AE154" i="6"/>
  <c r="AE156" i="6" s="1"/>
  <c r="AE154" i="8"/>
  <c r="AE150" i="6"/>
  <c r="AE152" i="6" s="1"/>
  <c r="AE145" i="6"/>
  <c r="AE145" i="8"/>
  <c r="AD96" i="9"/>
  <c r="AB110" i="9"/>
  <c r="AB9" i="11" s="1"/>
  <c r="AI20" i="4" l="1"/>
  <c r="AH24" i="4"/>
  <c r="AH137" i="8" s="1"/>
  <c r="AF136" i="6"/>
  <c r="AE138" i="6"/>
  <c r="AE140" i="6" s="1"/>
  <c r="AJ16" i="4"/>
  <c r="AI27" i="4"/>
  <c r="AK121" i="6"/>
  <c r="AL120" i="6"/>
  <c r="AE96" i="9"/>
  <c r="AE155" i="8"/>
  <c r="AE156" i="8" s="1"/>
  <c r="AE151" i="8"/>
  <c r="AE152" i="8" s="1"/>
  <c r="AD90" i="5"/>
  <c r="AD92" i="5" s="1"/>
  <c r="AE100" i="9"/>
  <c r="AE84" i="5"/>
  <c r="AE140" i="8"/>
  <c r="AO37" i="4"/>
  <c r="AO40" i="4"/>
  <c r="AE75" i="5"/>
  <c r="AJ24" i="1"/>
  <c r="AI53" i="4"/>
  <c r="AI54" i="4"/>
  <c r="AE129" i="6"/>
  <c r="AE132" i="6" s="1"/>
  <c r="AD101" i="9"/>
  <c r="AD104" i="9" s="1"/>
  <c r="AE88" i="9"/>
  <c r="AE91" i="9" s="1"/>
  <c r="AB10" i="11"/>
  <c r="AD157" i="6"/>
  <c r="AD148" i="6"/>
  <c r="AE7" i="7"/>
  <c r="AF79" i="4"/>
  <c r="AE129" i="8"/>
  <c r="AE149" i="8"/>
  <c r="AE149" i="6"/>
  <c r="AE146" i="6"/>
  <c r="AE147" i="6" s="1"/>
  <c r="AE146" i="8"/>
  <c r="AE147" i="8" s="1"/>
  <c r="AE89" i="5"/>
  <c r="AD7" i="11"/>
  <c r="AD82" i="4"/>
  <c r="AE80" i="4"/>
  <c r="AI73" i="4"/>
  <c r="AH74" i="4"/>
  <c r="AH69" i="5"/>
  <c r="AH94" i="5" s="1"/>
  <c r="AH96" i="5" s="1"/>
  <c r="AI68" i="5"/>
  <c r="AD157" i="8"/>
  <c r="AD160" i="8" s="1"/>
  <c r="AD148" i="8"/>
  <c r="AG68" i="4"/>
  <c r="AG69" i="4"/>
  <c r="AF128" i="8"/>
  <c r="AF128" i="6"/>
  <c r="AF26" i="4"/>
  <c r="AF135" i="6"/>
  <c r="AF126" i="6"/>
  <c r="AF127" i="6"/>
  <c r="AF126" i="8"/>
  <c r="AF127" i="8"/>
  <c r="AF135" i="8"/>
  <c r="AF138" i="8" s="1"/>
  <c r="AF97" i="9"/>
  <c r="AF99" i="9"/>
  <c r="AF93" i="9"/>
  <c r="AF95" i="9"/>
  <c r="AF87" i="9"/>
  <c r="AF86" i="9"/>
  <c r="AF86" i="5"/>
  <c r="AF88" i="5"/>
  <c r="AF74" i="5"/>
  <c r="AF83" i="5"/>
  <c r="AF81" i="5"/>
  <c r="AF85" i="5"/>
  <c r="AF73" i="5"/>
  <c r="AJ120" i="8"/>
  <c r="AI121" i="8"/>
  <c r="AI18" i="4"/>
  <c r="AH19" i="4"/>
  <c r="AH22" i="4" s="1"/>
  <c r="AH137" i="6" s="1"/>
  <c r="AJ81" i="9"/>
  <c r="AI82" i="9"/>
  <c r="AI106" i="9" s="1"/>
  <c r="AI108" i="9" s="1"/>
  <c r="AF150" i="8"/>
  <c r="AF154" i="8"/>
  <c r="AF154" i="6"/>
  <c r="AF156" i="6" s="1"/>
  <c r="AF150" i="6"/>
  <c r="AF152" i="6" s="1"/>
  <c r="AF145" i="8"/>
  <c r="AF145" i="6"/>
  <c r="AC160" i="6"/>
  <c r="AB166" i="6"/>
  <c r="AB8" i="7" s="1"/>
  <c r="AF98" i="9"/>
  <c r="AF94" i="9"/>
  <c r="AF82" i="5"/>
  <c r="AF87" i="5"/>
  <c r="AG25" i="4"/>
  <c r="AG136" i="8" s="1"/>
  <c r="AG28" i="4"/>
  <c r="AG46" i="4"/>
  <c r="AG47" i="4" s="1"/>
  <c r="AG38" i="4"/>
  <c r="AG41" i="4"/>
  <c r="Y78" i="5"/>
  <c r="X98" i="5"/>
  <c r="X9" i="7" s="1"/>
  <c r="X10" i="7" s="1"/>
  <c r="AH34" i="4"/>
  <c r="AG35" i="4"/>
  <c r="AD132" i="8"/>
  <c r="AC166" i="8"/>
  <c r="AC8" i="11" s="1"/>
  <c r="AC110" i="9"/>
  <c r="AC9" i="11" s="1"/>
  <c r="AJ20" i="4" l="1"/>
  <c r="AI24" i="4"/>
  <c r="AI137" i="8" s="1"/>
  <c r="AF84" i="5"/>
  <c r="AG136" i="6"/>
  <c r="AF138" i="6"/>
  <c r="AF140" i="6" s="1"/>
  <c r="AK16" i="4"/>
  <c r="AJ27" i="4"/>
  <c r="AE101" i="9"/>
  <c r="AE104" i="9" s="1"/>
  <c r="AE90" i="5"/>
  <c r="AE92" i="5" s="1"/>
  <c r="AL121" i="6"/>
  <c r="AM120" i="6"/>
  <c r="AF96" i="9"/>
  <c r="AF155" i="8"/>
  <c r="AF156" i="8" s="1"/>
  <c r="AF151" i="8"/>
  <c r="AF152" i="8" s="1"/>
  <c r="AF140" i="8"/>
  <c r="AF89" i="5"/>
  <c r="AF90" i="5" s="1"/>
  <c r="AF88" i="9"/>
  <c r="AF91" i="9" s="1"/>
  <c r="AP37" i="4"/>
  <c r="AP40" i="4"/>
  <c r="AF75" i="5"/>
  <c r="AJ53" i="4"/>
  <c r="AJ54" i="4"/>
  <c r="AK24" i="1"/>
  <c r="AF100" i="9"/>
  <c r="AC10" i="11"/>
  <c r="AC166" i="6"/>
  <c r="AC8" i="7" s="1"/>
  <c r="AD160" i="6"/>
  <c r="AF129" i="6"/>
  <c r="AF132" i="6" s="1"/>
  <c r="AF149" i="8"/>
  <c r="AF149" i="6"/>
  <c r="AF146" i="6"/>
  <c r="AF147" i="6" s="1"/>
  <c r="AF146" i="8"/>
  <c r="AF147" i="8" s="1"/>
  <c r="AH68" i="4"/>
  <c r="AH69" i="4"/>
  <c r="AE132" i="8"/>
  <c r="AD166" i="8"/>
  <c r="AD8" i="11" s="1"/>
  <c r="AK81" i="9"/>
  <c r="AJ82" i="9"/>
  <c r="AJ106" i="9" s="1"/>
  <c r="AJ108" i="9" s="1"/>
  <c r="AK120" i="8"/>
  <c r="AJ121" i="8"/>
  <c r="AJ68" i="5"/>
  <c r="AI69" i="5"/>
  <c r="AI94" i="5" s="1"/>
  <c r="AI96" i="5" s="1"/>
  <c r="AJ73" i="4"/>
  <c r="AI74" i="4"/>
  <c r="AG150" i="8"/>
  <c r="AG154" i="8"/>
  <c r="AG154" i="6"/>
  <c r="AG156" i="6" s="1"/>
  <c r="AG150" i="6"/>
  <c r="AG152" i="6" s="1"/>
  <c r="AG145" i="6"/>
  <c r="AG145" i="8"/>
  <c r="AG98" i="9"/>
  <c r="AG94" i="9"/>
  <c r="AG82" i="5"/>
  <c r="AG87" i="5"/>
  <c r="AG128" i="8"/>
  <c r="AG128" i="6"/>
  <c r="AG26" i="4"/>
  <c r="AG126" i="6"/>
  <c r="AG127" i="8"/>
  <c r="AG127" i="6"/>
  <c r="AG135" i="8"/>
  <c r="AG138" i="8" s="1"/>
  <c r="AG135" i="6"/>
  <c r="AG126" i="8"/>
  <c r="AH25" i="4"/>
  <c r="AH136" i="8" s="1"/>
  <c r="AH28" i="4"/>
  <c r="AH46" i="4"/>
  <c r="AH47" i="4" s="1"/>
  <c r="AH38" i="4"/>
  <c r="AH41" i="4"/>
  <c r="AF129" i="8"/>
  <c r="AE7" i="11"/>
  <c r="AF80" i="4"/>
  <c r="AE82" i="4"/>
  <c r="AF7" i="7"/>
  <c r="AG79" i="4"/>
  <c r="Z78" i="5"/>
  <c r="Y98" i="5"/>
  <c r="Y9" i="7" s="1"/>
  <c r="Y10" i="7" s="1"/>
  <c r="AI34" i="4"/>
  <c r="AH35" i="4"/>
  <c r="AG97" i="9"/>
  <c r="AG99" i="9"/>
  <c r="AG93" i="9"/>
  <c r="AG95" i="9"/>
  <c r="AG86" i="9"/>
  <c r="AG87" i="9"/>
  <c r="AG86" i="5"/>
  <c r="AG83" i="5"/>
  <c r="AG85" i="5"/>
  <c r="AG74" i="5"/>
  <c r="AG81" i="5"/>
  <c r="AG88" i="5"/>
  <c r="AG73" i="5"/>
  <c r="AI19" i="4"/>
  <c r="AI22" i="4" s="1"/>
  <c r="AI137" i="6" s="1"/>
  <c r="AJ18" i="4"/>
  <c r="AE148" i="6"/>
  <c r="AE157" i="6"/>
  <c r="AE157" i="8"/>
  <c r="AE160" i="8" s="1"/>
  <c r="AE148" i="8"/>
  <c r="AD110" i="9"/>
  <c r="AD9" i="11" s="1"/>
  <c r="AK20" i="4" l="1"/>
  <c r="AJ24" i="4"/>
  <c r="AJ137" i="8" s="1"/>
  <c r="AH136" i="6"/>
  <c r="AG138" i="6"/>
  <c r="AG140" i="6" s="1"/>
  <c r="AL16" i="4"/>
  <c r="AK27" i="4"/>
  <c r="AF101" i="9"/>
  <c r="AF104" i="9" s="1"/>
  <c r="AN120" i="6"/>
  <c r="AM121" i="6"/>
  <c r="AG155" i="8"/>
  <c r="AG156" i="8" s="1"/>
  <c r="AG151" i="8"/>
  <c r="AG152" i="8" s="1"/>
  <c r="AQ37" i="4"/>
  <c r="AQ40" i="4"/>
  <c r="AK54" i="4"/>
  <c r="AL24" i="1"/>
  <c r="AK53" i="4"/>
  <c r="AG140" i="8"/>
  <c r="AG129" i="8"/>
  <c r="AD10" i="11"/>
  <c r="AJ19" i="4"/>
  <c r="AJ22" i="4" s="1"/>
  <c r="AJ137" i="6" s="1"/>
  <c r="AK18" i="4"/>
  <c r="AG7" i="7"/>
  <c r="AH79" i="4"/>
  <c r="AI25" i="4"/>
  <c r="AI136" i="8" s="1"/>
  <c r="AI46" i="4"/>
  <c r="AI47" i="4" s="1"/>
  <c r="AI38" i="4"/>
  <c r="AI28" i="4"/>
  <c r="AI41" i="4"/>
  <c r="AJ34" i="4"/>
  <c r="AI35" i="4"/>
  <c r="AG129" i="6"/>
  <c r="AG132" i="6" s="1"/>
  <c r="AG96" i="9"/>
  <c r="AK73" i="4"/>
  <c r="AJ74" i="4"/>
  <c r="AL120" i="8"/>
  <c r="AK121" i="8"/>
  <c r="AF132" i="8"/>
  <c r="AE166" i="8"/>
  <c r="AE8" i="11" s="1"/>
  <c r="AD166" i="6"/>
  <c r="AD8" i="7" s="1"/>
  <c r="AE160" i="6"/>
  <c r="AG100" i="9"/>
  <c r="AF157" i="8"/>
  <c r="AF160" i="8" s="1"/>
  <c r="AF148" i="8"/>
  <c r="AH98" i="9"/>
  <c r="AH94" i="9"/>
  <c r="AH82" i="5"/>
  <c r="AH87" i="5"/>
  <c r="AH26" i="4"/>
  <c r="AH128" i="8"/>
  <c r="AH128" i="6"/>
  <c r="AH135" i="6"/>
  <c r="AH135" i="8"/>
  <c r="AH138" i="8" s="1"/>
  <c r="AH127" i="8"/>
  <c r="AH126" i="6"/>
  <c r="AH127" i="6"/>
  <c r="AH126" i="8"/>
  <c r="AG75" i="5"/>
  <c r="AG88" i="9"/>
  <c r="AG91" i="9" s="1"/>
  <c r="AA78" i="5"/>
  <c r="Z98" i="5"/>
  <c r="Z9" i="7" s="1"/>
  <c r="Z10" i="7" s="1"/>
  <c r="AF7" i="11"/>
  <c r="AF82" i="4"/>
  <c r="AG80" i="4"/>
  <c r="AH97" i="9"/>
  <c r="AH99" i="9"/>
  <c r="AH95" i="9"/>
  <c r="AH93" i="9"/>
  <c r="AH86" i="9"/>
  <c r="AH87" i="9"/>
  <c r="AH86" i="5"/>
  <c r="AH74" i="5"/>
  <c r="AH85" i="5"/>
  <c r="AH88" i="5"/>
  <c r="AH83" i="5"/>
  <c r="AH81" i="5"/>
  <c r="AH73" i="5"/>
  <c r="AF157" i="6"/>
  <c r="AF148" i="6"/>
  <c r="AG89" i="5"/>
  <c r="AJ69" i="5"/>
  <c r="AJ94" i="5" s="1"/>
  <c r="AJ96" i="5" s="1"/>
  <c r="AK68" i="5"/>
  <c r="AK82" i="9"/>
  <c r="AK106" i="9" s="1"/>
  <c r="AK108" i="9" s="1"/>
  <c r="AL81" i="9"/>
  <c r="AH154" i="8"/>
  <c r="AH150" i="8"/>
  <c r="AH154" i="6"/>
  <c r="AH156" i="6" s="1"/>
  <c r="AH150" i="6"/>
  <c r="AH152" i="6" s="1"/>
  <c r="AH145" i="6"/>
  <c r="AH145" i="8"/>
  <c r="AG149" i="8"/>
  <c r="AG149" i="6"/>
  <c r="AG146" i="8"/>
  <c r="AG147" i="8" s="1"/>
  <c r="AG146" i="6"/>
  <c r="AG147" i="6" s="1"/>
  <c r="AG84" i="5"/>
  <c r="AI68" i="4"/>
  <c r="AI69" i="4"/>
  <c r="AE110" i="9"/>
  <c r="AE9" i="11" s="1"/>
  <c r="AF92" i="5"/>
  <c r="AL20" i="4" l="1"/>
  <c r="AK24" i="4"/>
  <c r="AK137" i="8" s="1"/>
  <c r="AI136" i="6"/>
  <c r="AH138" i="6"/>
  <c r="AH140" i="6" s="1"/>
  <c r="AM16" i="4"/>
  <c r="AL27" i="4"/>
  <c r="AN121" i="6"/>
  <c r="AO120" i="6"/>
  <c r="AH155" i="8"/>
  <c r="AH156" i="8" s="1"/>
  <c r="AH151" i="8"/>
  <c r="AH152" i="8" s="1"/>
  <c r="AR37" i="4"/>
  <c r="AR40" i="4"/>
  <c r="AG90" i="5"/>
  <c r="AG92" i="5" s="1"/>
  <c r="AL54" i="4"/>
  <c r="AM24" i="1"/>
  <c r="AL53" i="4"/>
  <c r="AH96" i="9"/>
  <c r="AE10" i="11"/>
  <c r="AG157" i="6"/>
  <c r="AG148" i="6"/>
  <c r="AG148" i="8"/>
  <c r="AG157" i="8"/>
  <c r="AG160" i="8" s="1"/>
  <c r="AH129" i="6"/>
  <c r="AH132" i="6" s="1"/>
  <c r="AH149" i="8"/>
  <c r="AH149" i="6"/>
  <c r="AH146" i="6"/>
  <c r="AH147" i="6" s="1"/>
  <c r="AH146" i="8"/>
  <c r="AH147" i="8" s="1"/>
  <c r="AH100" i="9"/>
  <c r="AF160" i="6"/>
  <c r="AE166" i="6"/>
  <c r="AE8" i="7" s="1"/>
  <c r="AH7" i="7"/>
  <c r="AI79" i="4"/>
  <c r="AH89" i="5"/>
  <c r="AL121" i="8"/>
  <c r="AM120" i="8"/>
  <c r="AI154" i="6"/>
  <c r="AI156" i="6" s="1"/>
  <c r="AI154" i="8"/>
  <c r="AI150" i="8"/>
  <c r="AI150" i="6"/>
  <c r="AI152" i="6" s="1"/>
  <c r="AI145" i="6"/>
  <c r="AI145" i="8"/>
  <c r="AI97" i="9"/>
  <c r="AI99" i="9"/>
  <c r="AI95" i="9"/>
  <c r="AI93" i="9"/>
  <c r="AI86" i="9"/>
  <c r="AI87" i="9"/>
  <c r="AI86" i="5"/>
  <c r="AI74" i="5"/>
  <c r="AI81" i="5"/>
  <c r="AI83" i="5"/>
  <c r="AI88" i="5"/>
  <c r="AI85" i="5"/>
  <c r="AI73" i="5"/>
  <c r="AL82" i="9"/>
  <c r="AL106" i="9" s="1"/>
  <c r="AL108" i="9" s="1"/>
  <c r="AM81" i="9"/>
  <c r="AH75" i="5"/>
  <c r="AH88" i="9"/>
  <c r="AH91" i="9" s="1"/>
  <c r="AH129" i="8"/>
  <c r="AH140" i="8"/>
  <c r="AH84" i="5"/>
  <c r="AJ69" i="4"/>
  <c r="AJ68" i="4"/>
  <c r="AG101" i="9"/>
  <c r="AG104" i="9" s="1"/>
  <c r="AK34" i="4"/>
  <c r="AJ35" i="4"/>
  <c r="AK19" i="4"/>
  <c r="AK22" i="4" s="1"/>
  <c r="AK137" i="6" s="1"/>
  <c r="AL18" i="4"/>
  <c r="AK69" i="5"/>
  <c r="AK94" i="5" s="1"/>
  <c r="AK96" i="5" s="1"/>
  <c r="AL68" i="5"/>
  <c r="AG7" i="11"/>
  <c r="AG82" i="4"/>
  <c r="AH80" i="4"/>
  <c r="AB78" i="5"/>
  <c r="AA98" i="5"/>
  <c r="AA9" i="7" s="1"/>
  <c r="AA10" i="7" s="1"/>
  <c r="AG132" i="8"/>
  <c r="AF166" i="8"/>
  <c r="AF8" i="11" s="1"/>
  <c r="AK74" i="4"/>
  <c r="AL73" i="4"/>
  <c r="AI98" i="9"/>
  <c r="AI94" i="9"/>
  <c r="AI82" i="5"/>
  <c r="AI87" i="5"/>
  <c r="AI128" i="8"/>
  <c r="AI128" i="6"/>
  <c r="AI26" i="4"/>
  <c r="AI127" i="8"/>
  <c r="AI135" i="6"/>
  <c r="AI126" i="8"/>
  <c r="AI127" i="6"/>
  <c r="AI126" i="6"/>
  <c r="AI135" i="8"/>
  <c r="AI138" i="8" s="1"/>
  <c r="AJ25" i="4"/>
  <c r="AJ136" i="8" s="1"/>
  <c r="AJ46" i="4"/>
  <c r="AJ47" i="4" s="1"/>
  <c r="AJ28" i="4"/>
  <c r="AJ38" i="4"/>
  <c r="AJ41" i="4"/>
  <c r="AF110" i="9"/>
  <c r="AF9" i="11" s="1"/>
  <c r="AM20" i="4" l="1"/>
  <c r="AL24" i="4"/>
  <c r="AL137" i="8" s="1"/>
  <c r="AJ136" i="6"/>
  <c r="AI138" i="6"/>
  <c r="AI140" i="6" s="1"/>
  <c r="AN16" i="4"/>
  <c r="AM27" i="4"/>
  <c r="AP120" i="6"/>
  <c r="AP121" i="6" s="1"/>
  <c r="AO121" i="6"/>
  <c r="AI84" i="5"/>
  <c r="AI89" i="5"/>
  <c r="AI155" i="8"/>
  <c r="AI156" i="8" s="1"/>
  <c r="AI151" i="8"/>
  <c r="AI152" i="8" s="1"/>
  <c r="AH90" i="5"/>
  <c r="AH92" i="5" s="1"/>
  <c r="AI140" i="8"/>
  <c r="AH101" i="9"/>
  <c r="AH104" i="9" s="1"/>
  <c r="AS37" i="4"/>
  <c r="AS40" i="4"/>
  <c r="AN24" i="1"/>
  <c r="AM53" i="4"/>
  <c r="AM54" i="4"/>
  <c r="AI100" i="9"/>
  <c r="AI96" i="9"/>
  <c r="AF10" i="11"/>
  <c r="AH148" i="6"/>
  <c r="AH157" i="6"/>
  <c r="AL69" i="5"/>
  <c r="AL94" i="5" s="1"/>
  <c r="B113" i="5" s="1"/>
  <c r="B70" i="7" s="1"/>
  <c r="AM68" i="5"/>
  <c r="AJ98" i="9"/>
  <c r="AJ94" i="9"/>
  <c r="AJ82" i="5"/>
  <c r="AJ87" i="5"/>
  <c r="AJ128" i="8"/>
  <c r="AJ128" i="6"/>
  <c r="AJ26" i="4"/>
  <c r="AJ126" i="6"/>
  <c r="AJ126" i="8"/>
  <c r="AJ127" i="6"/>
  <c r="AJ127" i="8"/>
  <c r="AJ135" i="6"/>
  <c r="AJ135" i="8"/>
  <c r="AJ138" i="8" s="1"/>
  <c r="AI129" i="8"/>
  <c r="AM73" i="4"/>
  <c r="AL74" i="4"/>
  <c r="AJ150" i="8"/>
  <c r="AJ154" i="8"/>
  <c r="AJ154" i="6"/>
  <c r="AJ156" i="6" s="1"/>
  <c r="AJ150" i="6"/>
  <c r="AJ152" i="6" s="1"/>
  <c r="AJ145" i="8"/>
  <c r="AJ145" i="6"/>
  <c r="AN81" i="9"/>
  <c r="AM82" i="9"/>
  <c r="AM106" i="9" s="1"/>
  <c r="AM108" i="9" s="1"/>
  <c r="AI7" i="7"/>
  <c r="AJ79" i="4"/>
  <c r="AG160" i="6"/>
  <c r="AF166" i="6"/>
  <c r="AF8" i="7" s="1"/>
  <c r="AI149" i="8"/>
  <c r="AI149" i="6"/>
  <c r="AI146" i="6"/>
  <c r="AI147" i="6" s="1"/>
  <c r="AI146" i="8"/>
  <c r="AI147" i="8" s="1"/>
  <c r="AH157" i="8"/>
  <c r="AH160" i="8" s="1"/>
  <c r="AH148" i="8"/>
  <c r="AL34" i="4"/>
  <c r="AK35" i="4"/>
  <c r="AN120" i="8"/>
  <c r="AM121" i="8"/>
  <c r="AJ97" i="9"/>
  <c r="AJ99" i="9"/>
  <c r="AJ93" i="9"/>
  <c r="AJ95" i="9"/>
  <c r="AJ87" i="9"/>
  <c r="AJ86" i="9"/>
  <c r="AJ86" i="5"/>
  <c r="AJ74" i="5"/>
  <c r="AJ83" i="5"/>
  <c r="AJ88" i="5"/>
  <c r="AJ81" i="5"/>
  <c r="AJ85" i="5"/>
  <c r="AJ73" i="5"/>
  <c r="AK68" i="4"/>
  <c r="AK69" i="4"/>
  <c r="AI129" i="6"/>
  <c r="AI132" i="6" s="1"/>
  <c r="AC78" i="5"/>
  <c r="AB98" i="5"/>
  <c r="AB9" i="7" s="1"/>
  <c r="AB10" i="7" s="1"/>
  <c r="AM18" i="4"/>
  <c r="AL19" i="4"/>
  <c r="AL22" i="4" s="1"/>
  <c r="AL137" i="6" s="1"/>
  <c r="AI75" i="5"/>
  <c r="AI88" i="9"/>
  <c r="AI91" i="9" s="1"/>
  <c r="AH132" i="8"/>
  <c r="AG166" i="8"/>
  <c r="AG8" i="11" s="1"/>
  <c r="AH7" i="11"/>
  <c r="AH82" i="4"/>
  <c r="AI80" i="4"/>
  <c r="AK25" i="4"/>
  <c r="AK136" i="8" s="1"/>
  <c r="AK38" i="4"/>
  <c r="AK41" i="4"/>
  <c r="AK46" i="4"/>
  <c r="AK47" i="4" s="1"/>
  <c r="AK28" i="4"/>
  <c r="AG110" i="9"/>
  <c r="AG9" i="11" s="1"/>
  <c r="AN20" i="4" l="1"/>
  <c r="AM24" i="4"/>
  <c r="AM137" i="8" s="1"/>
  <c r="AK136" i="6"/>
  <c r="AJ138" i="6"/>
  <c r="AJ140" i="6" s="1"/>
  <c r="AO16" i="4"/>
  <c r="AN27" i="4"/>
  <c r="AI90" i="5"/>
  <c r="AI92" i="5" s="1"/>
  <c r="AL96" i="5"/>
  <c r="AJ155" i="8"/>
  <c r="AJ156" i="8" s="1"/>
  <c r="AJ151" i="8"/>
  <c r="AJ152" i="8" s="1"/>
  <c r="AI101" i="9"/>
  <c r="AI104" i="9" s="1"/>
  <c r="AJ140" i="8"/>
  <c r="AT37" i="4"/>
  <c r="AT40" i="4"/>
  <c r="AJ129" i="6"/>
  <c r="AJ132" i="6" s="1"/>
  <c r="AJ75" i="5"/>
  <c r="AN53" i="4"/>
  <c r="AO24" i="1"/>
  <c r="AN54" i="4"/>
  <c r="AJ129" i="8"/>
  <c r="AG10" i="11"/>
  <c r="AI148" i="6"/>
  <c r="AI157" i="6"/>
  <c r="AI7" i="11"/>
  <c r="AI82" i="4"/>
  <c r="AJ80" i="4"/>
  <c r="AI132" i="8"/>
  <c r="AH166" i="8"/>
  <c r="AH8" i="11" s="1"/>
  <c r="AL25" i="4"/>
  <c r="AL136" i="8" s="1"/>
  <c r="AL28" i="4"/>
  <c r="AL46" i="4"/>
  <c r="AL47" i="4" s="1"/>
  <c r="AL38" i="4"/>
  <c r="AL41" i="4"/>
  <c r="AI148" i="8"/>
  <c r="AI157" i="8"/>
  <c r="AI160" i="8" s="1"/>
  <c r="AK98" i="9"/>
  <c r="AK94" i="9"/>
  <c r="AK82" i="5"/>
  <c r="AK87" i="5"/>
  <c r="AM19" i="4"/>
  <c r="AM22" i="4" s="1"/>
  <c r="AM137" i="6" s="1"/>
  <c r="AN18" i="4"/>
  <c r="AJ7" i="7"/>
  <c r="AK79" i="4"/>
  <c r="AO81" i="9"/>
  <c r="AN82" i="9"/>
  <c r="AN106" i="9" s="1"/>
  <c r="AN108" i="9" s="1"/>
  <c r="AN73" i="4"/>
  <c r="AM74" i="4"/>
  <c r="AJ100" i="9"/>
  <c r="AO120" i="8"/>
  <c r="AN121" i="8"/>
  <c r="AJ89" i="5"/>
  <c r="AN68" i="5"/>
  <c r="AM69" i="5"/>
  <c r="AM94" i="5" s="1"/>
  <c r="AK128" i="8"/>
  <c r="AK26" i="4"/>
  <c r="AK128" i="6"/>
  <c r="AK127" i="6"/>
  <c r="AK135" i="8"/>
  <c r="AK138" i="8" s="1"/>
  <c r="AK126" i="8"/>
  <c r="AK127" i="8"/>
  <c r="AK135" i="6"/>
  <c r="AK126" i="6"/>
  <c r="AD78" i="5"/>
  <c r="AC98" i="5"/>
  <c r="AC9" i="7" s="1"/>
  <c r="AC10" i="7" s="1"/>
  <c r="AJ88" i="9"/>
  <c r="AJ91" i="9" s="1"/>
  <c r="AK154" i="8"/>
  <c r="AK150" i="8"/>
  <c r="AK154" i="6"/>
  <c r="AK156" i="6" s="1"/>
  <c r="AK150" i="6"/>
  <c r="AK152" i="6" s="1"/>
  <c r="AK145" i="8"/>
  <c r="AK145" i="6"/>
  <c r="AJ149" i="8"/>
  <c r="AJ149" i="6"/>
  <c r="AJ146" i="6"/>
  <c r="AJ147" i="6" s="1"/>
  <c r="AJ146" i="8"/>
  <c r="AJ147" i="8" s="1"/>
  <c r="AJ84" i="5"/>
  <c r="AK97" i="9"/>
  <c r="AK99" i="9"/>
  <c r="AK93" i="9"/>
  <c r="AK95" i="9"/>
  <c r="AK86" i="9"/>
  <c r="AK87" i="9"/>
  <c r="AK86" i="5"/>
  <c r="AK81" i="5"/>
  <c r="AK74" i="5"/>
  <c r="AK83" i="5"/>
  <c r="AK85" i="5"/>
  <c r="AK88" i="5"/>
  <c r="AK73" i="5"/>
  <c r="AM34" i="4"/>
  <c r="AL35" i="4"/>
  <c r="AH160" i="6"/>
  <c r="AG166" i="6"/>
  <c r="AG8" i="7" s="1"/>
  <c r="AL68" i="4"/>
  <c r="AL69" i="4"/>
  <c r="AJ96" i="9"/>
  <c r="AH110" i="9"/>
  <c r="AH9" i="11" s="1"/>
  <c r="AO20" i="4" l="1"/>
  <c r="AN24" i="4"/>
  <c r="AN137" i="8" s="1"/>
  <c r="AL136" i="6"/>
  <c r="AK138" i="6"/>
  <c r="AK140" i="6" s="1"/>
  <c r="AP16" i="4"/>
  <c r="AO27" i="4"/>
  <c r="AM96" i="5"/>
  <c r="AK155" i="8"/>
  <c r="AK156" i="8" s="1"/>
  <c r="AK151" i="8"/>
  <c r="AK152" i="8" s="1"/>
  <c r="AJ101" i="9"/>
  <c r="AJ104" i="9" s="1"/>
  <c r="AJ90" i="5"/>
  <c r="AJ92" i="5" s="1"/>
  <c r="AK88" i="9"/>
  <c r="AK91" i="9" s="1"/>
  <c r="AU37" i="4"/>
  <c r="AU40" i="4"/>
  <c r="AK75" i="5"/>
  <c r="AO54" i="4"/>
  <c r="AP24" i="1"/>
  <c r="AO53" i="4"/>
  <c r="AK129" i="6"/>
  <c r="AK132" i="6" s="1"/>
  <c r="AK140" i="8"/>
  <c r="AH10" i="11"/>
  <c r="AJ157" i="8"/>
  <c r="AJ160" i="8" s="1"/>
  <c r="AJ148" i="8"/>
  <c r="AI160" i="6"/>
  <c r="AH166" i="6"/>
  <c r="AH8" i="7" s="1"/>
  <c r="AK129" i="8"/>
  <c r="AN19" i="4"/>
  <c r="AN22" i="4" s="1"/>
  <c r="AN137" i="6" s="1"/>
  <c r="AO18" i="4"/>
  <c r="AK96" i="9"/>
  <c r="AL98" i="9"/>
  <c r="AL94" i="9"/>
  <c r="AL82" i="5"/>
  <c r="AL87" i="5"/>
  <c r="AL26" i="4"/>
  <c r="AL128" i="8"/>
  <c r="AL128" i="6"/>
  <c r="AL127" i="8"/>
  <c r="AL135" i="8"/>
  <c r="AL138" i="8" s="1"/>
  <c r="AL126" i="6"/>
  <c r="AL126" i="8"/>
  <c r="AL135" i="6"/>
  <c r="AL127" i="6"/>
  <c r="AJ157" i="6"/>
  <c r="AJ148" i="6"/>
  <c r="AO82" i="9"/>
  <c r="AO106" i="9" s="1"/>
  <c r="AO108" i="9" s="1"/>
  <c r="AP81" i="9"/>
  <c r="AP82" i="9" s="1"/>
  <c r="AP106" i="9" s="1"/>
  <c r="AM25" i="4"/>
  <c r="AM136" i="8" s="1"/>
  <c r="AM46" i="4"/>
  <c r="AM47" i="4" s="1"/>
  <c r="AM38" i="4"/>
  <c r="AM28" i="4"/>
  <c r="AM41" i="4"/>
  <c r="AK100" i="9"/>
  <c r="AL97" i="9"/>
  <c r="AL99" i="9"/>
  <c r="AL93" i="9"/>
  <c r="AL95" i="9"/>
  <c r="AL86" i="9"/>
  <c r="AL87" i="9"/>
  <c r="AL86" i="5"/>
  <c r="AL83" i="5"/>
  <c r="AL85" i="5"/>
  <c r="AL74" i="5"/>
  <c r="B107" i="5" s="1"/>
  <c r="B58" i="7" s="1"/>
  <c r="AL81" i="5"/>
  <c r="AL88" i="5"/>
  <c r="AL73" i="5"/>
  <c r="AL150" i="8"/>
  <c r="AL154" i="8"/>
  <c r="AL150" i="6"/>
  <c r="AL152" i="6" s="1"/>
  <c r="AL154" i="6"/>
  <c r="AL156" i="6" s="1"/>
  <c r="AL145" i="6"/>
  <c r="AL145" i="8"/>
  <c r="AN34" i="4"/>
  <c r="AM35" i="4"/>
  <c r="AE78" i="5"/>
  <c r="AD98" i="5"/>
  <c r="AD9" i="7" s="1"/>
  <c r="AD10" i="7" s="1"/>
  <c r="AK149" i="8"/>
  <c r="AK149" i="6"/>
  <c r="AK146" i="6"/>
  <c r="AK147" i="6" s="1"/>
  <c r="AK146" i="8"/>
  <c r="AK147" i="8" s="1"/>
  <c r="AM68" i="4"/>
  <c r="AM69" i="4"/>
  <c r="AK7" i="7"/>
  <c r="AL79" i="4"/>
  <c r="AK89" i="5"/>
  <c r="AJ132" i="8"/>
  <c r="AI166" i="8"/>
  <c r="AI8" i="11" s="1"/>
  <c r="AN69" i="5"/>
  <c r="AN94" i="5" s="1"/>
  <c r="AN96" i="5" s="1"/>
  <c r="AO68" i="5"/>
  <c r="AP120" i="8"/>
  <c r="AP121" i="8" s="1"/>
  <c r="AO121" i="8"/>
  <c r="AO73" i="4"/>
  <c r="AN74" i="4"/>
  <c r="AK84" i="5"/>
  <c r="AJ7" i="11"/>
  <c r="AJ82" i="4"/>
  <c r="AK80" i="4"/>
  <c r="AI110" i="9"/>
  <c r="AI9" i="11" s="1"/>
  <c r="AP20" i="4" l="1"/>
  <c r="AO24" i="4"/>
  <c r="AO137" i="8" s="1"/>
  <c r="AM136" i="6"/>
  <c r="AL138" i="6"/>
  <c r="AL140" i="6" s="1"/>
  <c r="AQ16" i="4"/>
  <c r="AP27" i="4"/>
  <c r="AP108" i="9"/>
  <c r="B124" i="9"/>
  <c r="B70" i="11" s="1"/>
  <c r="AL155" i="8"/>
  <c r="AL156" i="8" s="1"/>
  <c r="AL151" i="8"/>
  <c r="AL152" i="8" s="1"/>
  <c r="AL84" i="5"/>
  <c r="AV40" i="4"/>
  <c r="AV37" i="4"/>
  <c r="AP54" i="4"/>
  <c r="AP53" i="4"/>
  <c r="AL140" i="8"/>
  <c r="AK90" i="5"/>
  <c r="AK92" i="5" s="1"/>
  <c r="AL100" i="9"/>
  <c r="AL88" i="9"/>
  <c r="AL91" i="9" s="1"/>
  <c r="AI10" i="11"/>
  <c r="AL129" i="8"/>
  <c r="AK148" i="8"/>
  <c r="AK157" i="8"/>
  <c r="AK160" i="8" s="1"/>
  <c r="AM154" i="8"/>
  <c r="AM150" i="8"/>
  <c r="AM154" i="6"/>
  <c r="AM156" i="6" s="1"/>
  <c r="AM150" i="6"/>
  <c r="AM152" i="6" s="1"/>
  <c r="AM145" i="8"/>
  <c r="AM145" i="6"/>
  <c r="AL75" i="5"/>
  <c r="B106" i="5"/>
  <c r="AO34" i="4"/>
  <c r="AN35" i="4"/>
  <c r="AL96" i="9"/>
  <c r="AN25" i="4"/>
  <c r="AN136" i="8" s="1"/>
  <c r="AN28" i="4"/>
  <c r="AN46" i="4"/>
  <c r="AN47" i="4" s="1"/>
  <c r="AN38" i="4"/>
  <c r="AN41" i="4"/>
  <c r="AN68" i="4"/>
  <c r="AN69" i="4"/>
  <c r="AK132" i="8"/>
  <c r="AJ166" i="8"/>
  <c r="AJ8" i="11" s="1"/>
  <c r="AM98" i="9"/>
  <c r="AM94" i="9"/>
  <c r="AM82" i="5"/>
  <c r="AM87" i="5"/>
  <c r="AM128" i="6"/>
  <c r="AM128" i="8"/>
  <c r="AM26" i="4"/>
  <c r="AM126" i="6"/>
  <c r="AM127" i="6"/>
  <c r="AM135" i="6"/>
  <c r="AM127" i="8"/>
  <c r="AM135" i="8"/>
  <c r="AM138" i="8" s="1"/>
  <c r="AM126" i="8"/>
  <c r="AL149" i="8"/>
  <c r="AL149" i="6"/>
  <c r="AL146" i="6"/>
  <c r="AL147" i="6" s="1"/>
  <c r="AL146" i="8"/>
  <c r="AL147" i="8" s="1"/>
  <c r="AI166" i="6"/>
  <c r="AI8" i="7" s="1"/>
  <c r="AJ160" i="6"/>
  <c r="AK7" i="11"/>
  <c r="AK82" i="4"/>
  <c r="AL80" i="4"/>
  <c r="AO69" i="5"/>
  <c r="AO94" i="5" s="1"/>
  <c r="AO96" i="5" s="1"/>
  <c r="AP68" i="5"/>
  <c r="AF78" i="5"/>
  <c r="AE98" i="5"/>
  <c r="AE9" i="7" s="1"/>
  <c r="AE10" i="7" s="1"/>
  <c r="AO74" i="4"/>
  <c r="AP73" i="4"/>
  <c r="AP74" i="4" s="1"/>
  <c r="AK157" i="6"/>
  <c r="AK148" i="6"/>
  <c r="AL129" i="6"/>
  <c r="AL132" i="6" s="1"/>
  <c r="AL89" i="5"/>
  <c r="AK101" i="9"/>
  <c r="AK104" i="9" s="1"/>
  <c r="AL7" i="7"/>
  <c r="AM79" i="4"/>
  <c r="AM97" i="9"/>
  <c r="AM99" i="9"/>
  <c r="AM93" i="9"/>
  <c r="AM95" i="9"/>
  <c r="AM86" i="9"/>
  <c r="AM87" i="9"/>
  <c r="AM86" i="5"/>
  <c r="AM74" i="5"/>
  <c r="AM81" i="5"/>
  <c r="AM83" i="5"/>
  <c r="AM88" i="5"/>
  <c r="AM85" i="5"/>
  <c r="AM73" i="5"/>
  <c r="AO19" i="4"/>
  <c r="AO22" i="4" s="1"/>
  <c r="AO137" i="6" s="1"/>
  <c r="AP18" i="4"/>
  <c r="AJ110" i="9"/>
  <c r="AJ9" i="11" s="1"/>
  <c r="AQ20" i="4" l="1"/>
  <c r="AP24" i="4"/>
  <c r="AP137" i="8" s="1"/>
  <c r="AN136" i="6"/>
  <c r="AM138" i="6"/>
  <c r="AM140" i="6" s="1"/>
  <c r="AR16" i="4"/>
  <c r="AQ27" i="4"/>
  <c r="AM155" i="8"/>
  <c r="AM156" i="8" s="1"/>
  <c r="AM151" i="8"/>
  <c r="AM152" i="8" s="1"/>
  <c r="AP69" i="4"/>
  <c r="AP68" i="4"/>
  <c r="AL90" i="5"/>
  <c r="AL92" i="5" s="1"/>
  <c r="AW37" i="4"/>
  <c r="AW40" i="4"/>
  <c r="AL101" i="9"/>
  <c r="AL104" i="9" s="1"/>
  <c r="AJ10" i="11"/>
  <c r="AM129" i="8"/>
  <c r="AL148" i="8"/>
  <c r="AL157" i="8"/>
  <c r="AL160" i="8" s="1"/>
  <c r="AP69" i="5"/>
  <c r="AP94" i="5" s="1"/>
  <c r="AP96" i="5" s="1"/>
  <c r="AQ68" i="5"/>
  <c r="AQ18" i="4"/>
  <c r="AP19" i="4"/>
  <c r="AP22" i="4" s="1"/>
  <c r="AP137" i="6" s="1"/>
  <c r="AL157" i="6"/>
  <c r="AL148" i="6"/>
  <c r="AO69" i="4"/>
  <c r="AO68" i="4"/>
  <c r="AJ166" i="6"/>
  <c r="AJ8" i="7" s="1"/>
  <c r="AK160" i="6"/>
  <c r="AM140" i="8"/>
  <c r="AM129" i="6"/>
  <c r="AM132" i="6" s="1"/>
  <c r="AM96" i="9"/>
  <c r="AP34" i="4"/>
  <c r="AO35" i="4"/>
  <c r="AO25" i="4"/>
  <c r="AO136" i="8" s="1"/>
  <c r="AO28" i="4"/>
  <c r="AO46" i="4"/>
  <c r="AO47" i="4" s="1"/>
  <c r="AO38" i="4"/>
  <c r="AO41" i="4"/>
  <c r="AM100" i="9"/>
  <c r="AN98" i="9"/>
  <c r="AN94" i="9"/>
  <c r="AN82" i="5"/>
  <c r="AN87" i="5"/>
  <c r="AN128" i="8"/>
  <c r="AN26" i="4"/>
  <c r="AN128" i="6"/>
  <c r="AN135" i="8"/>
  <c r="AN138" i="8" s="1"/>
  <c r="AN127" i="8"/>
  <c r="AN126" i="8"/>
  <c r="AN135" i="6"/>
  <c r="AN126" i="6"/>
  <c r="AN127" i="6"/>
  <c r="B57" i="7"/>
  <c r="AL7" i="11"/>
  <c r="AL82" i="4"/>
  <c r="AM80" i="4"/>
  <c r="AM75" i="5"/>
  <c r="AM88" i="9"/>
  <c r="AM91" i="9" s="1"/>
  <c r="AG78" i="5"/>
  <c r="AF98" i="5"/>
  <c r="AF9" i="7" s="1"/>
  <c r="AF10" i="7" s="1"/>
  <c r="AM89" i="5"/>
  <c r="AL132" i="8"/>
  <c r="AK166" i="8"/>
  <c r="AK8" i="11" s="1"/>
  <c r="AN97" i="9"/>
  <c r="AN99" i="9"/>
  <c r="AN95" i="9"/>
  <c r="AN93" i="9"/>
  <c r="AN87" i="9"/>
  <c r="AN86" i="9"/>
  <c r="AN86" i="5"/>
  <c r="AN74" i="5"/>
  <c r="AN81" i="5"/>
  <c r="AN88" i="5"/>
  <c r="AN83" i="5"/>
  <c r="AN85" i="5"/>
  <c r="AN73" i="5"/>
  <c r="AM7" i="7"/>
  <c r="AN79" i="4"/>
  <c r="AM149" i="8"/>
  <c r="AM149" i="6"/>
  <c r="AM146" i="8"/>
  <c r="AM147" i="8" s="1"/>
  <c r="AM146" i="6"/>
  <c r="AM147" i="6" s="1"/>
  <c r="AM84" i="5"/>
  <c r="AN154" i="8"/>
  <c r="AN150" i="8"/>
  <c r="AN154" i="6"/>
  <c r="AN156" i="6" s="1"/>
  <c r="AN150" i="6"/>
  <c r="AN152" i="6" s="1"/>
  <c r="AN145" i="8"/>
  <c r="AN145" i="6"/>
  <c r="AK110" i="9"/>
  <c r="AK9" i="11" s="1"/>
  <c r="AR20" i="4" l="1"/>
  <c r="AQ24" i="4"/>
  <c r="AM101" i="9"/>
  <c r="AO136" i="6"/>
  <c r="AN138" i="6"/>
  <c r="AN140" i="6" s="1"/>
  <c r="AS16" i="4"/>
  <c r="AR27" i="4"/>
  <c r="B89" i="4"/>
  <c r="B51" i="11" s="1"/>
  <c r="B88" i="4"/>
  <c r="AN155" i="8"/>
  <c r="AN156" i="8" s="1"/>
  <c r="AN151" i="8"/>
  <c r="AN152" i="8" s="1"/>
  <c r="AM90" i="5"/>
  <c r="AM92" i="5" s="1"/>
  <c r="AP25" i="4"/>
  <c r="AP136" i="8" s="1"/>
  <c r="AP46" i="4"/>
  <c r="AP47" i="4" s="1"/>
  <c r="AP41" i="4"/>
  <c r="AP38" i="4"/>
  <c r="AP28" i="4"/>
  <c r="AQ34" i="4"/>
  <c r="AP35" i="4"/>
  <c r="AN96" i="9"/>
  <c r="AN129" i="6"/>
  <c r="AN132" i="6" s="1"/>
  <c r="AX37" i="4"/>
  <c r="AX40" i="4"/>
  <c r="AN88" i="9"/>
  <c r="AN91" i="9" s="1"/>
  <c r="AN129" i="8"/>
  <c r="AM157" i="8"/>
  <c r="AM160" i="8" s="1"/>
  <c r="AM148" i="8"/>
  <c r="AM7" i="11"/>
  <c r="AM82" i="4"/>
  <c r="AN80" i="4"/>
  <c r="AN89" i="5"/>
  <c r="AM157" i="6"/>
  <c r="AM148" i="6"/>
  <c r="AN7" i="7"/>
  <c r="AO79" i="4"/>
  <c r="AM132" i="8"/>
  <c r="AL166" i="8"/>
  <c r="AL8" i="11" s="1"/>
  <c r="AH78" i="5"/>
  <c r="AG98" i="5"/>
  <c r="AG9" i="7" s="1"/>
  <c r="AG10" i="7" s="1"/>
  <c r="AN84" i="5"/>
  <c r="AO98" i="9"/>
  <c r="AO94" i="9"/>
  <c r="AO87" i="5"/>
  <c r="AO82" i="5"/>
  <c r="AO128" i="8"/>
  <c r="AO26" i="4"/>
  <c r="AO128" i="6"/>
  <c r="AO127" i="6"/>
  <c r="AO135" i="6"/>
  <c r="AO135" i="8"/>
  <c r="AO138" i="8" s="1"/>
  <c r="AO126" i="6"/>
  <c r="AO127" i="8"/>
  <c r="AO126" i="8"/>
  <c r="AR68" i="5"/>
  <c r="AQ69" i="5"/>
  <c r="AQ94" i="5" s="1"/>
  <c r="AQ96" i="5" s="1"/>
  <c r="AN140" i="8"/>
  <c r="AN149" i="8"/>
  <c r="AN149" i="6"/>
  <c r="AN146" i="6"/>
  <c r="AN147" i="6" s="1"/>
  <c r="AN146" i="8"/>
  <c r="AN147" i="8" s="1"/>
  <c r="AO99" i="9"/>
  <c r="AO97" i="9"/>
  <c r="AO95" i="9"/>
  <c r="AO93" i="9"/>
  <c r="AO86" i="9"/>
  <c r="AO87" i="9"/>
  <c r="AO86" i="5"/>
  <c r="AO74" i="5"/>
  <c r="AO83" i="5"/>
  <c r="AO88" i="5"/>
  <c r="AO85" i="5"/>
  <c r="AO81" i="5"/>
  <c r="AO73" i="5"/>
  <c r="AK10" i="11"/>
  <c r="AN75" i="5"/>
  <c r="AN100" i="9"/>
  <c r="AO150" i="8"/>
  <c r="AO154" i="8"/>
  <c r="AO150" i="6"/>
  <c r="AO152" i="6" s="1"/>
  <c r="AO154" i="6"/>
  <c r="AO156" i="6" s="1"/>
  <c r="AO145" i="8"/>
  <c r="AO145" i="6"/>
  <c r="AK166" i="6"/>
  <c r="AK8" i="7" s="1"/>
  <c r="AL160" i="6"/>
  <c r="AQ19" i="4"/>
  <c r="AQ22" i="4" s="1"/>
  <c r="AR18" i="4"/>
  <c r="AL110" i="9"/>
  <c r="AL9" i="11" s="1"/>
  <c r="AM104" i="9"/>
  <c r="AS20" i="4" l="1"/>
  <c r="AR24" i="4"/>
  <c r="AP136" i="6"/>
  <c r="B180" i="8"/>
  <c r="AO138" i="6"/>
  <c r="AO140" i="6" s="1"/>
  <c r="AT16" i="4"/>
  <c r="AS27" i="4"/>
  <c r="B91" i="4"/>
  <c r="B51" i="7"/>
  <c r="AO155" i="8"/>
  <c r="AO156" i="8" s="1"/>
  <c r="AO151" i="8"/>
  <c r="AO152" i="8" s="1"/>
  <c r="AN101" i="9"/>
  <c r="AN104" i="9" s="1"/>
  <c r="AP154" i="8"/>
  <c r="AP145" i="6"/>
  <c r="AP145" i="8"/>
  <c r="AP150" i="8"/>
  <c r="AP154" i="6"/>
  <c r="AP156" i="6" s="1"/>
  <c r="AP150" i="6"/>
  <c r="AP152" i="6" s="1"/>
  <c r="AP87" i="9"/>
  <c r="B118" i="9" s="1"/>
  <c r="B58" i="11" s="1"/>
  <c r="AP74" i="5"/>
  <c r="AP97" i="9"/>
  <c r="AP86" i="9"/>
  <c r="B117" i="9" s="1"/>
  <c r="AP86" i="5"/>
  <c r="AP81" i="5"/>
  <c r="AP93" i="9"/>
  <c r="AP85" i="5"/>
  <c r="AP99" i="9"/>
  <c r="AP95" i="9"/>
  <c r="AP88" i="5"/>
  <c r="AP83" i="5"/>
  <c r="AP73" i="5"/>
  <c r="AR34" i="4"/>
  <c r="AQ35" i="4"/>
  <c r="AP94" i="9"/>
  <c r="AP98" i="9"/>
  <c r="AP87" i="5"/>
  <c r="AP82" i="5"/>
  <c r="AQ25" i="4"/>
  <c r="AQ26" i="4" s="1"/>
  <c r="AQ41" i="4"/>
  <c r="AQ28" i="4"/>
  <c r="AQ38" i="4"/>
  <c r="AP127" i="8"/>
  <c r="AP128" i="8"/>
  <c r="B176" i="8" s="1"/>
  <c r="B56" i="11" s="1"/>
  <c r="AP26" i="4"/>
  <c r="AP135" i="6"/>
  <c r="B179" i="6" s="1"/>
  <c r="AP135" i="8"/>
  <c r="B179" i="8" s="1"/>
  <c r="B61" i="11" s="1"/>
  <c r="AP126" i="8"/>
  <c r="AP127" i="6"/>
  <c r="B175" i="6" s="1"/>
  <c r="B55" i="7" s="1"/>
  <c r="AP128" i="6"/>
  <c r="B176" i="6" s="1"/>
  <c r="B56" i="7" s="1"/>
  <c r="AP126" i="6"/>
  <c r="B174" i="6" s="1"/>
  <c r="AO146" i="6"/>
  <c r="AO147" i="6" s="1"/>
  <c r="AO148" i="6" s="1"/>
  <c r="AO146" i="8"/>
  <c r="AO147" i="8" s="1"/>
  <c r="AO148" i="8" s="1"/>
  <c r="AO96" i="9"/>
  <c r="AY37" i="4"/>
  <c r="AY40" i="4"/>
  <c r="AN90" i="5"/>
  <c r="AN92" i="5" s="1"/>
  <c r="AL10" i="11"/>
  <c r="AN148" i="6"/>
  <c r="AN157" i="6"/>
  <c r="AM160" i="6"/>
  <c r="AL166" i="6"/>
  <c r="AL8" i="7" s="1"/>
  <c r="AO129" i="8"/>
  <c r="AO89" i="5"/>
  <c r="AO7" i="7"/>
  <c r="AP79" i="4"/>
  <c r="AP7" i="7" s="1"/>
  <c r="AO149" i="8"/>
  <c r="AO149" i="6"/>
  <c r="AI78" i="5"/>
  <c r="AH98" i="5"/>
  <c r="AH9" i="7" s="1"/>
  <c r="AH10" i="7" s="1"/>
  <c r="AN7" i="11"/>
  <c r="AN82" i="4"/>
  <c r="AO80" i="4"/>
  <c r="AN157" i="8"/>
  <c r="AN160" i="8" s="1"/>
  <c r="AN148" i="8"/>
  <c r="AR19" i="4"/>
  <c r="AR22" i="4" s="1"/>
  <c r="AS18" i="4"/>
  <c r="AO75" i="5"/>
  <c r="AO88" i="9"/>
  <c r="AO91" i="9" s="1"/>
  <c r="AO129" i="6"/>
  <c r="AO132" i="6" s="1"/>
  <c r="AO100" i="9"/>
  <c r="AR69" i="5"/>
  <c r="AR94" i="5" s="1"/>
  <c r="AR96" i="5" s="1"/>
  <c r="AS68" i="5"/>
  <c r="AO140" i="8"/>
  <c r="AO84" i="5"/>
  <c r="AN132" i="8"/>
  <c r="AM166" i="8"/>
  <c r="AM8" i="11" s="1"/>
  <c r="AM110" i="9"/>
  <c r="AM9" i="11" s="1"/>
  <c r="AT20" i="4" l="1"/>
  <c r="AS24" i="4"/>
  <c r="AO101" i="9"/>
  <c r="AP138" i="8"/>
  <c r="AP140" i="8" s="1"/>
  <c r="AP138" i="6"/>
  <c r="AP140" i="6" s="1"/>
  <c r="B180" i="6"/>
  <c r="B62" i="7" s="1"/>
  <c r="AU16" i="4"/>
  <c r="AT27" i="4"/>
  <c r="AP129" i="6"/>
  <c r="AP132" i="6" s="1"/>
  <c r="AP129" i="8"/>
  <c r="AP155" i="8"/>
  <c r="AP156" i="8" s="1"/>
  <c r="AP151" i="8"/>
  <c r="AP152" i="8" s="1"/>
  <c r="AP88" i="9"/>
  <c r="AP91" i="9" s="1"/>
  <c r="B175" i="8"/>
  <c r="B55" i="11" s="1"/>
  <c r="AP84" i="5"/>
  <c r="AP89" i="5"/>
  <c r="B62" i="11"/>
  <c r="AQ85" i="5"/>
  <c r="AQ86" i="5"/>
  <c r="AQ81" i="5"/>
  <c r="AQ74" i="5"/>
  <c r="AQ88" i="5"/>
  <c r="AQ83" i="5"/>
  <c r="AQ73" i="5"/>
  <c r="B57" i="11"/>
  <c r="AR25" i="4"/>
  <c r="AR26" i="4" s="1"/>
  <c r="AR28" i="4"/>
  <c r="AR38" i="4"/>
  <c r="AR41" i="4"/>
  <c r="B174" i="8"/>
  <c r="B54" i="11" s="1"/>
  <c r="AS34" i="4"/>
  <c r="AR35" i="4"/>
  <c r="AP149" i="8"/>
  <c r="AP146" i="8"/>
  <c r="AP147" i="8" s="1"/>
  <c r="AP149" i="6"/>
  <c r="AP146" i="6"/>
  <c r="AP147" i="6" s="1"/>
  <c r="AQ82" i="5"/>
  <c r="AQ87" i="5"/>
  <c r="AQ89" i="5" s="1"/>
  <c r="B54" i="7"/>
  <c r="B61" i="7"/>
  <c r="AP96" i="9"/>
  <c r="AP75" i="5"/>
  <c r="AP100" i="9"/>
  <c r="AO157" i="6"/>
  <c r="AO157" i="8"/>
  <c r="AO160" i="8" s="1"/>
  <c r="AZ37" i="4"/>
  <c r="AZ40" i="4"/>
  <c r="AO132" i="8"/>
  <c r="AN166" i="8"/>
  <c r="AN8" i="11" s="1"/>
  <c r="AS69" i="5"/>
  <c r="AS94" i="5" s="1"/>
  <c r="AS96" i="5" s="1"/>
  <c r="AT68" i="5"/>
  <c r="AT69" i="5" s="1"/>
  <c r="AT94" i="5" s="1"/>
  <c r="AN160" i="6"/>
  <c r="AM166" i="6"/>
  <c r="AM8" i="7" s="1"/>
  <c r="AM10" i="11"/>
  <c r="AS19" i="4"/>
  <c r="AS22" i="4" s="1"/>
  <c r="AT18" i="4"/>
  <c r="AO7" i="11"/>
  <c r="AO82" i="4"/>
  <c r="AP80" i="4"/>
  <c r="AJ78" i="5"/>
  <c r="AI98" i="5"/>
  <c r="AI9" i="7" s="1"/>
  <c r="AI10" i="7" s="1"/>
  <c r="AO90" i="5"/>
  <c r="AO104" i="9"/>
  <c r="AN110" i="9"/>
  <c r="AN9" i="11" s="1"/>
  <c r="AU20" i="4" l="1"/>
  <c r="AT24" i="4"/>
  <c r="AV16" i="4"/>
  <c r="AU27" i="4"/>
  <c r="AT96" i="5"/>
  <c r="AP90" i="5"/>
  <c r="B110" i="5" s="1"/>
  <c r="AQ84" i="5"/>
  <c r="AQ90" i="5" s="1"/>
  <c r="AS25" i="4"/>
  <c r="AS26" i="4" s="1"/>
  <c r="AS38" i="4"/>
  <c r="AS28" i="4"/>
  <c r="AS41" i="4"/>
  <c r="AT34" i="4"/>
  <c r="AS35" i="4"/>
  <c r="AR81" i="5"/>
  <c r="AR85" i="5"/>
  <c r="AR86" i="5"/>
  <c r="AR74" i="5"/>
  <c r="AR83" i="5"/>
  <c r="AR88" i="5"/>
  <c r="AR73" i="5"/>
  <c r="AQ75" i="5"/>
  <c r="AP101" i="9"/>
  <c r="B121" i="9" s="1"/>
  <c r="AP148" i="6"/>
  <c r="AP157" i="6"/>
  <c r="B183" i="6" s="1"/>
  <c r="AP148" i="8"/>
  <c r="AP157" i="8"/>
  <c r="AR82" i="5"/>
  <c r="AR87" i="5"/>
  <c r="BA40" i="4"/>
  <c r="BA37" i="4"/>
  <c r="AO92" i="5"/>
  <c r="AN10" i="11"/>
  <c r="AP7" i="11"/>
  <c r="AP82" i="4"/>
  <c r="AP132" i="8"/>
  <c r="AO166" i="8"/>
  <c r="AO8" i="11" s="1"/>
  <c r="AN166" i="6"/>
  <c r="AN8" i="7" s="1"/>
  <c r="AO160" i="6"/>
  <c r="AK78" i="5"/>
  <c r="AJ98" i="5"/>
  <c r="AJ9" i="7" s="1"/>
  <c r="AJ10" i="7" s="1"/>
  <c r="AU18" i="4"/>
  <c r="AT19" i="4"/>
  <c r="AT22" i="4" s="1"/>
  <c r="AO110" i="9"/>
  <c r="AO9" i="11" s="1"/>
  <c r="AV20" i="4" l="1"/>
  <c r="AU24" i="4"/>
  <c r="AW16" i="4"/>
  <c r="AV27" i="4"/>
  <c r="AP104" i="9"/>
  <c r="AP110" i="9" s="1"/>
  <c r="AP9" i="11" s="1"/>
  <c r="AP92" i="5"/>
  <c r="B115" i="5"/>
  <c r="B66" i="7"/>
  <c r="AR89" i="5"/>
  <c r="AR75" i="5"/>
  <c r="AR84" i="5"/>
  <c r="B183" i="8"/>
  <c r="B65" i="11" s="1"/>
  <c r="AU34" i="4"/>
  <c r="AT35" i="4"/>
  <c r="AS85" i="5"/>
  <c r="AS81" i="5"/>
  <c r="AS74" i="5"/>
  <c r="AS86" i="5"/>
  <c r="AS83" i="5"/>
  <c r="AS88" i="5"/>
  <c r="AS73" i="5"/>
  <c r="AT25" i="4"/>
  <c r="AT26" i="4" s="1"/>
  <c r="AT41" i="4"/>
  <c r="AT38" i="4"/>
  <c r="AT28" i="4"/>
  <c r="B126" i="9"/>
  <c r="B66" i="11"/>
  <c r="B188" i="6"/>
  <c r="B65" i="7"/>
  <c r="AS82" i="5"/>
  <c r="AS87" i="5"/>
  <c r="AP160" i="8"/>
  <c r="AP166" i="8" s="1"/>
  <c r="AP8" i="11" s="1"/>
  <c r="BB37" i="4"/>
  <c r="BB40" i="4"/>
  <c r="AO10" i="11"/>
  <c r="AP160" i="6"/>
  <c r="AP166" i="6" s="1"/>
  <c r="AP8" i="7" s="1"/>
  <c r="AO166" i="6"/>
  <c r="AO8" i="7" s="1"/>
  <c r="AU19" i="4"/>
  <c r="AU22" i="4" s="1"/>
  <c r="AV18" i="4"/>
  <c r="AL78" i="5"/>
  <c r="AK98" i="5"/>
  <c r="AK9" i="7" s="1"/>
  <c r="AK10" i="7" s="1"/>
  <c r="AQ92" i="5"/>
  <c r="AW20" i="4" l="1"/>
  <c r="AV24" i="4"/>
  <c r="B72" i="11"/>
  <c r="AX16" i="4"/>
  <c r="AW27" i="4"/>
  <c r="AS75" i="5"/>
  <c r="AP10" i="11"/>
  <c r="AR90" i="5"/>
  <c r="AR92" i="5" s="1"/>
  <c r="B72" i="7"/>
  <c r="AS84" i="5"/>
  <c r="AS89" i="5"/>
  <c r="B188" i="8"/>
  <c r="AT86" i="5"/>
  <c r="AT85" i="5"/>
  <c r="AT81" i="5"/>
  <c r="AT74" i="5"/>
  <c r="AT88" i="5"/>
  <c r="AT83" i="5"/>
  <c r="AT73" i="5"/>
  <c r="AT87" i="5"/>
  <c r="AT82" i="5"/>
  <c r="AU25" i="4"/>
  <c r="AU26" i="4" s="1"/>
  <c r="AU38" i="4"/>
  <c r="AU28" i="4"/>
  <c r="AU41" i="4"/>
  <c r="AV34" i="4"/>
  <c r="AU35" i="4"/>
  <c r="BC37" i="4"/>
  <c r="BC40" i="4"/>
  <c r="AM78" i="5"/>
  <c r="AL98" i="5"/>
  <c r="AL9" i="7" s="1"/>
  <c r="AL10" i="7" s="1"/>
  <c r="AV19" i="4"/>
  <c r="AV22" i="4" s="1"/>
  <c r="AW18" i="4"/>
  <c r="AX20" i="4" l="1"/>
  <c r="AW24" i="4"/>
  <c r="AY16" i="4"/>
  <c r="AX27" i="4"/>
  <c r="AS90" i="5"/>
  <c r="AS92" i="5" s="1"/>
  <c r="AT75" i="5"/>
  <c r="AT84" i="5"/>
  <c r="AV25" i="4"/>
  <c r="AV26" i="4" s="1"/>
  <c r="AV41" i="4"/>
  <c r="AV28" i="4"/>
  <c r="AV38" i="4"/>
  <c r="AT89" i="5"/>
  <c r="AW34" i="4"/>
  <c r="AV35" i="4"/>
  <c r="BD37" i="4"/>
  <c r="BD40" i="4"/>
  <c r="AN78" i="5"/>
  <c r="AM98" i="5"/>
  <c r="AM9" i="7" s="1"/>
  <c r="AM10" i="7" s="1"/>
  <c r="AW19" i="4"/>
  <c r="AW22" i="4" s="1"/>
  <c r="AX18" i="4"/>
  <c r="AY20" i="4" l="1"/>
  <c r="AX24" i="4"/>
  <c r="AZ16" i="4"/>
  <c r="AY27" i="4"/>
  <c r="AT90" i="5"/>
  <c r="AT92" i="5" s="1"/>
  <c r="AW25" i="4"/>
  <c r="AW26" i="4" s="1"/>
  <c r="AW41" i="4"/>
  <c r="AW38" i="4"/>
  <c r="AW28" i="4"/>
  <c r="AX34" i="4"/>
  <c r="AW35" i="4"/>
  <c r="BE37" i="4"/>
  <c r="BE40" i="4"/>
  <c r="AO78" i="5"/>
  <c r="AN98" i="5"/>
  <c r="AN9" i="7" s="1"/>
  <c r="AN10" i="7" s="1"/>
  <c r="AY18" i="4"/>
  <c r="AX19" i="4"/>
  <c r="AX22" i="4" s="1"/>
  <c r="AZ20" i="4" l="1"/>
  <c r="AY24" i="4"/>
  <c r="BA16" i="4"/>
  <c r="AZ27" i="4"/>
  <c r="AY34" i="4"/>
  <c r="AX35" i="4"/>
  <c r="AX25" i="4"/>
  <c r="AX26" i="4" s="1"/>
  <c r="AX28" i="4"/>
  <c r="AX38" i="4"/>
  <c r="AX41" i="4"/>
  <c r="BF37" i="4"/>
  <c r="BF40" i="4"/>
  <c r="AP78" i="5"/>
  <c r="AO98" i="5"/>
  <c r="AO9" i="7" s="1"/>
  <c r="AO10" i="7" s="1"/>
  <c r="AY19" i="4"/>
  <c r="AY22" i="4" s="1"/>
  <c r="AZ18" i="4"/>
  <c r="BA20" i="4" l="1"/>
  <c r="AZ24" i="4"/>
  <c r="BB16" i="4"/>
  <c r="BA27" i="4"/>
  <c r="AY25" i="4"/>
  <c r="AY26" i="4" s="1"/>
  <c r="AY28" i="4"/>
  <c r="AY41" i="4"/>
  <c r="AY38" i="4"/>
  <c r="AZ34" i="4"/>
  <c r="AY35" i="4"/>
  <c r="BG37" i="4"/>
  <c r="BG40" i="4"/>
  <c r="AZ19" i="4"/>
  <c r="AZ22" i="4" s="1"/>
  <c r="BA18" i="4"/>
  <c r="AQ78" i="5"/>
  <c r="AP98" i="5"/>
  <c r="AP9" i="7" s="1"/>
  <c r="AP10" i="7" s="1"/>
  <c r="BB20" i="4" l="1"/>
  <c r="BA24" i="4"/>
  <c r="BC16" i="4"/>
  <c r="BB27" i="4"/>
  <c r="BA34" i="4"/>
  <c r="AZ35" i="4"/>
  <c r="AZ25" i="4"/>
  <c r="AZ26" i="4" s="1"/>
  <c r="AZ28" i="4"/>
  <c r="AZ41" i="4"/>
  <c r="AZ38" i="4"/>
  <c r="BH37" i="4"/>
  <c r="BH40" i="4"/>
  <c r="AR78" i="5"/>
  <c r="AQ98" i="5"/>
  <c r="BA19" i="4"/>
  <c r="BA22" i="4" s="1"/>
  <c r="BB18" i="4"/>
  <c r="BC20" i="4" l="1"/>
  <c r="BB24" i="4"/>
  <c r="BD16" i="4"/>
  <c r="BC27" i="4"/>
  <c r="BA25" i="4"/>
  <c r="BA26" i="4" s="1"/>
  <c r="BA28" i="4"/>
  <c r="BA41" i="4"/>
  <c r="BA38" i="4"/>
  <c r="BB34" i="4"/>
  <c r="BA35" i="4"/>
  <c r="BI37" i="4"/>
  <c r="BI40" i="4"/>
  <c r="BC18" i="4"/>
  <c r="BB19" i="4"/>
  <c r="BB22" i="4" s="1"/>
  <c r="AS78" i="5"/>
  <c r="AR98" i="5"/>
  <c r="BD20" i="4" l="1"/>
  <c r="BC24" i="4"/>
  <c r="BE16" i="4"/>
  <c r="BD27" i="4"/>
  <c r="BC34" i="4"/>
  <c r="BB35" i="4"/>
  <c r="BB25" i="4"/>
  <c r="BB26" i="4" s="1"/>
  <c r="BB28" i="4"/>
  <c r="BB38" i="4"/>
  <c r="BB41" i="4"/>
  <c r="BJ37" i="4"/>
  <c r="BJ40" i="4"/>
  <c r="AT78" i="5"/>
  <c r="AT98" i="5" s="1"/>
  <c r="AS98" i="5"/>
  <c r="BC19" i="4"/>
  <c r="BC22" i="4" s="1"/>
  <c r="BD18" i="4"/>
  <c r="BE20" i="4" l="1"/>
  <c r="BD24" i="4"/>
  <c r="BF16" i="4"/>
  <c r="BE27" i="4"/>
  <c r="BC25" i="4"/>
  <c r="BC26" i="4" s="1"/>
  <c r="BC41" i="4"/>
  <c r="BC38" i="4"/>
  <c r="BC28" i="4"/>
  <c r="BD34" i="4"/>
  <c r="BC35" i="4"/>
  <c r="BK37" i="4"/>
  <c r="BK40" i="4"/>
  <c r="BD19" i="4"/>
  <c r="BD22" i="4" s="1"/>
  <c r="BE18" i="4"/>
  <c r="BF20" i="4" l="1"/>
  <c r="BE24" i="4"/>
  <c r="BG16" i="4"/>
  <c r="BF27" i="4"/>
  <c r="BD25" i="4"/>
  <c r="BD26" i="4" s="1"/>
  <c r="BD28" i="4"/>
  <c r="BD38" i="4"/>
  <c r="BD41" i="4"/>
  <c r="BE34" i="4"/>
  <c r="BD35" i="4"/>
  <c r="BL40" i="4"/>
  <c r="BL37" i="4"/>
  <c r="BE19" i="4"/>
  <c r="BE22" i="4" s="1"/>
  <c r="BF18" i="4"/>
  <c r="BG20" i="4" l="1"/>
  <c r="BF24" i="4"/>
  <c r="BH16" i="4"/>
  <c r="BG27" i="4"/>
  <c r="BE25" i="4"/>
  <c r="BE26" i="4" s="1"/>
  <c r="BE41" i="4"/>
  <c r="BE38" i="4"/>
  <c r="BE28" i="4"/>
  <c r="BF34" i="4"/>
  <c r="BE35" i="4"/>
  <c r="BM37" i="4"/>
  <c r="BM40" i="4"/>
  <c r="BG18" i="4"/>
  <c r="BF19" i="4"/>
  <c r="BF22" i="4" s="1"/>
  <c r="BH20" i="4" l="1"/>
  <c r="BG24" i="4"/>
  <c r="BI16" i="4"/>
  <c r="BH27" i="4"/>
  <c r="BG34" i="4"/>
  <c r="BF35" i="4"/>
  <c r="BF25" i="4"/>
  <c r="BF26" i="4" s="1"/>
  <c r="BF38" i="4"/>
  <c r="BF28" i="4"/>
  <c r="BF41" i="4"/>
  <c r="BN37" i="4"/>
  <c r="BN40" i="4"/>
  <c r="BG19" i="4"/>
  <c r="BG22" i="4" s="1"/>
  <c r="BH18" i="4"/>
  <c r="BI20" i="4" l="1"/>
  <c r="BH24" i="4"/>
  <c r="BJ16" i="4"/>
  <c r="BI27" i="4"/>
  <c r="BG25" i="4"/>
  <c r="BG26" i="4" s="1"/>
  <c r="BG41" i="4"/>
  <c r="BG28" i="4"/>
  <c r="BG38" i="4"/>
  <c r="BH34" i="4"/>
  <c r="BG35" i="4"/>
  <c r="BO37" i="4"/>
  <c r="BO40" i="4"/>
  <c r="BH19" i="4"/>
  <c r="BH22" i="4" s="1"/>
  <c r="BI18" i="4"/>
  <c r="BJ20" i="4" l="1"/>
  <c r="BI24" i="4"/>
  <c r="BK16" i="4"/>
  <c r="BJ41" i="4"/>
  <c r="BJ26" i="4"/>
  <c r="BJ38" i="4"/>
  <c r="BJ35" i="4"/>
  <c r="BJ28" i="4"/>
  <c r="BJ27" i="4"/>
  <c r="BH25" i="4"/>
  <c r="BH26" i="4" s="1"/>
  <c r="BH28" i="4"/>
  <c r="BH38" i="4"/>
  <c r="BH41" i="4"/>
  <c r="BI34" i="4"/>
  <c r="BH35" i="4"/>
  <c r="BP37" i="4"/>
  <c r="BP40" i="4"/>
  <c r="BI19" i="4"/>
  <c r="BI22" i="4" s="1"/>
  <c r="BJ18" i="4"/>
  <c r="BK20" i="4" l="1"/>
  <c r="BJ24" i="4"/>
  <c r="BL16" i="4"/>
  <c r="BK38" i="4"/>
  <c r="BK26" i="4"/>
  <c r="BK27" i="4"/>
  <c r="BK28" i="4"/>
  <c r="BK41" i="4"/>
  <c r="BK35" i="4"/>
  <c r="BI25" i="4"/>
  <c r="BI26" i="4" s="1"/>
  <c r="BI41" i="4"/>
  <c r="BI28" i="4"/>
  <c r="BI38" i="4"/>
  <c r="BJ34" i="4"/>
  <c r="BK34" i="4" s="1"/>
  <c r="BL34" i="4" s="1"/>
  <c r="BM34" i="4" s="1"/>
  <c r="BN34" i="4" s="1"/>
  <c r="BO34" i="4" s="1"/>
  <c r="BP34" i="4" s="1"/>
  <c r="BQ34" i="4" s="1"/>
  <c r="BR34" i="4" s="1"/>
  <c r="BS34" i="4" s="1"/>
  <c r="BT34" i="4" s="1"/>
  <c r="BU34" i="4" s="1"/>
  <c r="BV34" i="4" s="1"/>
  <c r="BW34" i="4" s="1"/>
  <c r="BX34" i="4" s="1"/>
  <c r="BY34" i="4" s="1"/>
  <c r="BZ34" i="4" s="1"/>
  <c r="CA34" i="4" s="1"/>
  <c r="CB34" i="4" s="1"/>
  <c r="CC34" i="4" s="1"/>
  <c r="CD34" i="4" s="1"/>
  <c r="CE34" i="4" s="1"/>
  <c r="CF34" i="4" s="1"/>
  <c r="CG34" i="4" s="1"/>
  <c r="CH34" i="4" s="1"/>
  <c r="CI34" i="4" s="1"/>
  <c r="CJ34" i="4" s="1"/>
  <c r="CK34" i="4" s="1"/>
  <c r="CL34" i="4" s="1"/>
  <c r="CM34" i="4" s="1"/>
  <c r="CN34" i="4" s="1"/>
  <c r="CO34" i="4" s="1"/>
  <c r="CP34" i="4" s="1"/>
  <c r="CQ34" i="4" s="1"/>
  <c r="CR34" i="4" s="1"/>
  <c r="CS34" i="4" s="1"/>
  <c r="CT34" i="4" s="1"/>
  <c r="CU34" i="4" s="1"/>
  <c r="CV34" i="4" s="1"/>
  <c r="CW34" i="4" s="1"/>
  <c r="CX34" i="4" s="1"/>
  <c r="CY34" i="4" s="1"/>
  <c r="CZ34" i="4" s="1"/>
  <c r="DA34" i="4" s="1"/>
  <c r="DB34" i="4" s="1"/>
  <c r="DC34" i="4" s="1"/>
  <c r="DD34" i="4" s="1"/>
  <c r="BI35" i="4"/>
  <c r="BQ40" i="4"/>
  <c r="BQ37" i="4"/>
  <c r="BK18" i="4"/>
  <c r="BJ19" i="4"/>
  <c r="BJ25" i="4" s="1"/>
  <c r="BL20" i="4" l="1"/>
  <c r="BK24" i="4"/>
  <c r="BJ22" i="4"/>
  <c r="BM16" i="4"/>
  <c r="BL41" i="4"/>
  <c r="BL28" i="4"/>
  <c r="BL26" i="4"/>
  <c r="BL35" i="4"/>
  <c r="BL27" i="4"/>
  <c r="BL38" i="4"/>
  <c r="BR37" i="4"/>
  <c r="BR40" i="4"/>
  <c r="BK19" i="4"/>
  <c r="BK25" i="4" s="1"/>
  <c r="BL18" i="4"/>
  <c r="BM20" i="4" l="1"/>
  <c r="BL24" i="4"/>
  <c r="BK22" i="4"/>
  <c r="BN16" i="4"/>
  <c r="BM41" i="4"/>
  <c r="BM27" i="4"/>
  <c r="BM35" i="4"/>
  <c r="BM38" i="4"/>
  <c r="BM28" i="4"/>
  <c r="BM26" i="4"/>
  <c r="BS37" i="4"/>
  <c r="BS40" i="4"/>
  <c r="BL19" i="4"/>
  <c r="BL25" i="4" s="1"/>
  <c r="BM18" i="4"/>
  <c r="BN20" i="4" l="1"/>
  <c r="BM24" i="4"/>
  <c r="BL22" i="4"/>
  <c r="BO16" i="4"/>
  <c r="BN41" i="4"/>
  <c r="BN38" i="4"/>
  <c r="BN26" i="4"/>
  <c r="BN28" i="4"/>
  <c r="BN35" i="4"/>
  <c r="BN27" i="4"/>
  <c r="BT37" i="4"/>
  <c r="BT40" i="4"/>
  <c r="BM19" i="4"/>
  <c r="BM25" i="4" s="1"/>
  <c r="BN18" i="4"/>
  <c r="BO20" i="4" l="1"/>
  <c r="BN24" i="4"/>
  <c r="BM22" i="4"/>
  <c r="BP16" i="4"/>
  <c r="BO38" i="4"/>
  <c r="BO26" i="4"/>
  <c r="BO35" i="4"/>
  <c r="BO41" i="4"/>
  <c r="BO27" i="4"/>
  <c r="BO28" i="4"/>
  <c r="BU37" i="4"/>
  <c r="BU40" i="4"/>
  <c r="BO18" i="4"/>
  <c r="BN19" i="4"/>
  <c r="BN25" i="4" s="1"/>
  <c r="BP20" i="4" l="1"/>
  <c r="BO24" i="4"/>
  <c r="BN22" i="4"/>
  <c r="BQ16" i="4"/>
  <c r="BP38" i="4"/>
  <c r="BP35" i="4"/>
  <c r="BP28" i="4"/>
  <c r="BP27" i="4"/>
  <c r="BP41" i="4"/>
  <c r="BP26" i="4"/>
  <c r="BV37" i="4"/>
  <c r="BV40" i="4"/>
  <c r="BO19" i="4"/>
  <c r="BO25" i="4" s="1"/>
  <c r="BP18" i="4"/>
  <c r="BQ20" i="4" l="1"/>
  <c r="BP24" i="4"/>
  <c r="BO22" i="4"/>
  <c r="BR16" i="4"/>
  <c r="BQ35" i="4"/>
  <c r="BQ28" i="4"/>
  <c r="BQ38" i="4"/>
  <c r="BQ26" i="4"/>
  <c r="BQ27" i="4"/>
  <c r="BQ41" i="4"/>
  <c r="BW40" i="4"/>
  <c r="BW37" i="4"/>
  <c r="BP19" i="4"/>
  <c r="BP25" i="4" s="1"/>
  <c r="BQ18" i="4"/>
  <c r="BR20" i="4" l="1"/>
  <c r="BQ24" i="4"/>
  <c r="BP22" i="4"/>
  <c r="BS16" i="4"/>
  <c r="BR38" i="4"/>
  <c r="BR26" i="4"/>
  <c r="BR28" i="4"/>
  <c r="BR41" i="4"/>
  <c r="BR27" i="4"/>
  <c r="BR35" i="4"/>
  <c r="BX37" i="4"/>
  <c r="BX40" i="4"/>
  <c r="BQ19" i="4"/>
  <c r="BQ25" i="4" s="1"/>
  <c r="BR18" i="4"/>
  <c r="BS20" i="4" l="1"/>
  <c r="BR24" i="4"/>
  <c r="BQ22" i="4"/>
  <c r="BT16" i="4"/>
  <c r="BS41" i="4"/>
  <c r="BS38" i="4"/>
  <c r="BS35" i="4"/>
  <c r="BS28" i="4"/>
  <c r="BS27" i="4"/>
  <c r="BS26" i="4"/>
  <c r="BY37" i="4"/>
  <c r="BY40" i="4"/>
  <c r="BS18" i="4"/>
  <c r="BR19" i="4"/>
  <c r="BR25" i="4" s="1"/>
  <c r="BT20" i="4" l="1"/>
  <c r="BS24" i="4"/>
  <c r="BR22" i="4"/>
  <c r="BU16" i="4"/>
  <c r="BT28" i="4"/>
  <c r="BT38" i="4"/>
  <c r="BT27" i="4"/>
  <c r="BT26" i="4"/>
  <c r="BT41" i="4"/>
  <c r="BT35" i="4"/>
  <c r="BZ37" i="4"/>
  <c r="BZ40" i="4"/>
  <c r="BS19" i="4"/>
  <c r="BS25" i="4" s="1"/>
  <c r="BT18" i="4"/>
  <c r="BU20" i="4" l="1"/>
  <c r="BT24" i="4"/>
  <c r="BS22" i="4"/>
  <c r="BV16" i="4"/>
  <c r="BU26" i="4"/>
  <c r="BU35" i="4"/>
  <c r="BU38" i="4"/>
  <c r="BU28" i="4"/>
  <c r="BU41" i="4"/>
  <c r="BU27" i="4"/>
  <c r="CA37" i="4"/>
  <c r="CA40" i="4"/>
  <c r="BT19" i="4"/>
  <c r="BT25" i="4" s="1"/>
  <c r="BU18" i="4"/>
  <c r="BV20" i="4" l="1"/>
  <c r="BU24" i="4"/>
  <c r="BT22" i="4"/>
  <c r="BW16" i="4"/>
  <c r="BV41" i="4"/>
  <c r="BV28" i="4"/>
  <c r="BV35" i="4"/>
  <c r="BV38" i="4"/>
  <c r="BV26" i="4"/>
  <c r="BV27" i="4"/>
  <c r="CB40" i="4"/>
  <c r="CB37" i="4"/>
  <c r="BU19" i="4"/>
  <c r="BU25" i="4" s="1"/>
  <c r="BV18" i="4"/>
  <c r="BW20" i="4" l="1"/>
  <c r="BV24" i="4"/>
  <c r="BU22" i="4"/>
  <c r="BX16" i="4"/>
  <c r="BW28" i="4"/>
  <c r="BW35" i="4"/>
  <c r="BW41" i="4"/>
  <c r="BW38" i="4"/>
  <c r="BW27" i="4"/>
  <c r="BW26" i="4"/>
  <c r="CC37" i="4"/>
  <c r="CC40" i="4"/>
  <c r="BW18" i="4"/>
  <c r="BV19" i="4"/>
  <c r="BV25" i="4" s="1"/>
  <c r="BX20" i="4" l="1"/>
  <c r="BW24" i="4"/>
  <c r="BV22" i="4"/>
  <c r="BY16" i="4"/>
  <c r="BX35" i="4"/>
  <c r="BX26" i="4"/>
  <c r="BX27" i="4"/>
  <c r="BX38" i="4"/>
  <c r="BX28" i="4"/>
  <c r="BX41" i="4"/>
  <c r="CD37" i="4"/>
  <c r="CD40" i="4"/>
  <c r="BW19" i="4"/>
  <c r="BW25" i="4" s="1"/>
  <c r="BX18" i="4"/>
  <c r="BY20" i="4" l="1"/>
  <c r="BX24" i="4"/>
  <c r="BW22" i="4"/>
  <c r="BZ16" i="4"/>
  <c r="BY41" i="4"/>
  <c r="BY26" i="4"/>
  <c r="BY38" i="4"/>
  <c r="BY27" i="4"/>
  <c r="BY28" i="4"/>
  <c r="BY35" i="4"/>
  <c r="CE37" i="4"/>
  <c r="CE40" i="4"/>
  <c r="BX19" i="4"/>
  <c r="BX25" i="4" s="1"/>
  <c r="BY18" i="4"/>
  <c r="BZ20" i="4" l="1"/>
  <c r="BY24" i="4"/>
  <c r="BX22" i="4"/>
  <c r="CA16" i="4"/>
  <c r="BZ26" i="4"/>
  <c r="BZ35" i="4"/>
  <c r="BZ41" i="4"/>
  <c r="BZ28" i="4"/>
  <c r="BZ38" i="4"/>
  <c r="BZ27" i="4"/>
  <c r="CF37" i="4"/>
  <c r="CF40" i="4"/>
  <c r="BY19" i="4"/>
  <c r="BY25" i="4" s="1"/>
  <c r="BZ18" i="4"/>
  <c r="CA20" i="4" l="1"/>
  <c r="BZ24" i="4"/>
  <c r="BY22" i="4"/>
  <c r="CB16" i="4"/>
  <c r="CA26" i="4"/>
  <c r="CA28" i="4"/>
  <c r="CA35" i="4"/>
  <c r="CA27" i="4"/>
  <c r="CA38" i="4"/>
  <c r="CA41" i="4"/>
  <c r="CG40" i="4"/>
  <c r="CG37" i="4"/>
  <c r="CA18" i="4"/>
  <c r="BZ19" i="4"/>
  <c r="BZ25" i="4" s="1"/>
  <c r="CB20" i="4" l="1"/>
  <c r="CA24" i="4"/>
  <c r="BZ22" i="4"/>
  <c r="CC16" i="4"/>
  <c r="CB35" i="4"/>
  <c r="CB26" i="4"/>
  <c r="CB41" i="4"/>
  <c r="CB28" i="4"/>
  <c r="CB38" i="4"/>
  <c r="CB27" i="4"/>
  <c r="CH37" i="4"/>
  <c r="CH40" i="4"/>
  <c r="CA19" i="4"/>
  <c r="CA25" i="4" s="1"/>
  <c r="CB18" i="4"/>
  <c r="CC20" i="4" l="1"/>
  <c r="CB24" i="4"/>
  <c r="CA22" i="4"/>
  <c r="CD16" i="4"/>
  <c r="CC27" i="4"/>
  <c r="CC35" i="4"/>
  <c r="CC41" i="4"/>
  <c r="CC28" i="4"/>
  <c r="CC26" i="4"/>
  <c r="CC38" i="4"/>
  <c r="CI37" i="4"/>
  <c r="CI40" i="4"/>
  <c r="CB19" i="4"/>
  <c r="CB25" i="4" s="1"/>
  <c r="CC18" i="4"/>
  <c r="CD20" i="4" l="1"/>
  <c r="CC24" i="4"/>
  <c r="CB22" i="4"/>
  <c r="CE16" i="4"/>
  <c r="CD41" i="4"/>
  <c r="CD26" i="4"/>
  <c r="CD35" i="4"/>
  <c r="CD38" i="4"/>
  <c r="CD28" i="4"/>
  <c r="CD27" i="4"/>
  <c r="CJ37" i="4"/>
  <c r="CJ40" i="4"/>
  <c r="CC19" i="4"/>
  <c r="CC25" i="4" s="1"/>
  <c r="CD18" i="4"/>
  <c r="CE20" i="4" l="1"/>
  <c r="CD24" i="4"/>
  <c r="CC22" i="4"/>
  <c r="CF16" i="4"/>
  <c r="CE27" i="4"/>
  <c r="CE35" i="4"/>
  <c r="CE26" i="4"/>
  <c r="CE41" i="4"/>
  <c r="CE38" i="4"/>
  <c r="CE28" i="4"/>
  <c r="CK37" i="4"/>
  <c r="CK40" i="4"/>
  <c r="CE18" i="4"/>
  <c r="CD19" i="4"/>
  <c r="CD25" i="4" s="1"/>
  <c r="CF20" i="4" l="1"/>
  <c r="CE24" i="4"/>
  <c r="CD22" i="4"/>
  <c r="CG16" i="4"/>
  <c r="CF41" i="4"/>
  <c r="CF38" i="4"/>
  <c r="CF27" i="4"/>
  <c r="CF35" i="4"/>
  <c r="CF28" i="4"/>
  <c r="CF26" i="4"/>
  <c r="CL37" i="4"/>
  <c r="CL40" i="4"/>
  <c r="CE19" i="4"/>
  <c r="CE25" i="4" s="1"/>
  <c r="CF18" i="4"/>
  <c r="CG20" i="4" l="1"/>
  <c r="CF24" i="4"/>
  <c r="CE22" i="4"/>
  <c r="CH16" i="4"/>
  <c r="CG38" i="4"/>
  <c r="CG35" i="4"/>
  <c r="CG28" i="4"/>
  <c r="CG41" i="4"/>
  <c r="CG26" i="4"/>
  <c r="CG27" i="4"/>
  <c r="CM37" i="4"/>
  <c r="CM40" i="4"/>
  <c r="CF19" i="4"/>
  <c r="CF25" i="4" s="1"/>
  <c r="CG18" i="4"/>
  <c r="CH20" i="4" l="1"/>
  <c r="CG24" i="4"/>
  <c r="CF22" i="4"/>
  <c r="CI16" i="4"/>
  <c r="CH41" i="4"/>
  <c r="CH28" i="4"/>
  <c r="CH38" i="4"/>
  <c r="CH27" i="4"/>
  <c r="CH35" i="4"/>
  <c r="CH26" i="4"/>
  <c r="CN37" i="4"/>
  <c r="CN40" i="4"/>
  <c r="CG19" i="4"/>
  <c r="CG25" i="4" s="1"/>
  <c r="CH18" i="4"/>
  <c r="CI20" i="4" l="1"/>
  <c r="CH24" i="4"/>
  <c r="CG22" i="4"/>
  <c r="CJ16" i="4"/>
  <c r="CI41" i="4"/>
  <c r="CI28" i="4"/>
  <c r="CI38" i="4"/>
  <c r="CI26" i="4"/>
  <c r="CI35" i="4"/>
  <c r="CI27" i="4"/>
  <c r="CO37" i="4"/>
  <c r="CO40" i="4"/>
  <c r="CI18" i="4"/>
  <c r="CH19" i="4"/>
  <c r="CH25" i="4" s="1"/>
  <c r="CJ20" i="4" l="1"/>
  <c r="CI24" i="4"/>
  <c r="CH22" i="4"/>
  <c r="CK16" i="4"/>
  <c r="CJ28" i="4"/>
  <c r="CJ38" i="4"/>
  <c r="CJ41" i="4"/>
  <c r="CJ27" i="4"/>
  <c r="CJ35" i="4"/>
  <c r="CJ26" i="4"/>
  <c r="CP37" i="4"/>
  <c r="CP40" i="4"/>
  <c r="CI19" i="4"/>
  <c r="CI25" i="4" s="1"/>
  <c r="CJ18" i="4"/>
  <c r="CK20" i="4" l="1"/>
  <c r="CJ24" i="4"/>
  <c r="CI22" i="4"/>
  <c r="CL16" i="4"/>
  <c r="CK38" i="4"/>
  <c r="CK26" i="4"/>
  <c r="CK41" i="4"/>
  <c r="CK28" i="4"/>
  <c r="CK35" i="4"/>
  <c r="CK27" i="4"/>
  <c r="CQ37" i="4"/>
  <c r="CQ40" i="4"/>
  <c r="CJ19" i="4"/>
  <c r="CJ25" i="4" s="1"/>
  <c r="CK18" i="4"/>
  <c r="CL20" i="4" l="1"/>
  <c r="CK24" i="4"/>
  <c r="CJ22" i="4"/>
  <c r="CM16" i="4"/>
  <c r="CL41" i="4"/>
  <c r="CL28" i="4"/>
  <c r="CL35" i="4"/>
  <c r="CL26" i="4"/>
  <c r="CL27" i="4"/>
  <c r="CL38" i="4"/>
  <c r="CR40" i="4"/>
  <c r="CR37" i="4"/>
  <c r="CK19" i="4"/>
  <c r="CK25" i="4" s="1"/>
  <c r="CL18" i="4"/>
  <c r="CM20" i="4" l="1"/>
  <c r="CL24" i="4"/>
  <c r="CK22" i="4"/>
  <c r="CN16" i="4"/>
  <c r="CM27" i="4"/>
  <c r="CM28" i="4"/>
  <c r="CM38" i="4"/>
  <c r="CM41" i="4"/>
  <c r="CM35" i="4"/>
  <c r="CM26" i="4"/>
  <c r="CS37" i="4"/>
  <c r="CS40" i="4"/>
  <c r="CM18" i="4"/>
  <c r="CL19" i="4"/>
  <c r="CL25" i="4" s="1"/>
  <c r="CN20" i="4" l="1"/>
  <c r="CM24" i="4"/>
  <c r="CL22" i="4"/>
  <c r="CO16" i="4"/>
  <c r="CN35" i="4"/>
  <c r="CN26" i="4"/>
  <c r="CN27" i="4"/>
  <c r="CN38" i="4"/>
  <c r="CN28" i="4"/>
  <c r="CN41" i="4"/>
  <c r="CT37" i="4"/>
  <c r="CT40" i="4"/>
  <c r="CM19" i="4"/>
  <c r="CM25" i="4" s="1"/>
  <c r="CN18" i="4"/>
  <c r="CO20" i="4" l="1"/>
  <c r="CN24" i="4"/>
  <c r="CM22" i="4"/>
  <c r="CP16" i="4"/>
  <c r="CO38" i="4"/>
  <c r="CO26" i="4"/>
  <c r="CO27" i="4"/>
  <c r="CO35" i="4"/>
  <c r="CO28" i="4"/>
  <c r="CO41" i="4"/>
  <c r="CU37" i="4"/>
  <c r="CU40" i="4"/>
  <c r="CN19" i="4"/>
  <c r="CN25" i="4" s="1"/>
  <c r="CO18" i="4"/>
  <c r="CP20" i="4" l="1"/>
  <c r="CO24" i="4"/>
  <c r="CN22" i="4"/>
  <c r="CQ16" i="4"/>
  <c r="CP38" i="4"/>
  <c r="CP35" i="4"/>
  <c r="CP26" i="4"/>
  <c r="CP28" i="4"/>
  <c r="CP41" i="4"/>
  <c r="CP27" i="4"/>
  <c r="CV37" i="4"/>
  <c r="CV40" i="4"/>
  <c r="CO19" i="4"/>
  <c r="CO25" i="4" s="1"/>
  <c r="CP18" i="4"/>
  <c r="CQ20" i="4" l="1"/>
  <c r="CP24" i="4"/>
  <c r="CO22" i="4"/>
  <c r="CR16" i="4"/>
  <c r="CQ35" i="4"/>
  <c r="CQ27" i="4"/>
  <c r="CQ26" i="4"/>
  <c r="CQ38" i="4"/>
  <c r="CQ28" i="4"/>
  <c r="CQ41" i="4"/>
  <c r="CW37" i="4"/>
  <c r="CW40" i="4"/>
  <c r="CQ18" i="4"/>
  <c r="CP19" i="4"/>
  <c r="CP25" i="4" s="1"/>
  <c r="CR20" i="4" l="1"/>
  <c r="CQ24" i="4"/>
  <c r="CP22" i="4"/>
  <c r="CS16" i="4"/>
  <c r="CR26" i="4"/>
  <c r="CR41" i="4"/>
  <c r="CR35" i="4"/>
  <c r="CR38" i="4"/>
  <c r="CR28" i="4"/>
  <c r="CR27" i="4"/>
  <c r="CX37" i="4"/>
  <c r="CX40" i="4"/>
  <c r="CQ19" i="4"/>
  <c r="CQ25" i="4" s="1"/>
  <c r="CR18" i="4"/>
  <c r="CS20" i="4" l="1"/>
  <c r="CR24" i="4"/>
  <c r="CQ22" i="4"/>
  <c r="CT16" i="4"/>
  <c r="CS27" i="4"/>
  <c r="CS35" i="4"/>
  <c r="CS28" i="4"/>
  <c r="CS38" i="4"/>
  <c r="CS41" i="4"/>
  <c r="CS26" i="4"/>
  <c r="CY37" i="4"/>
  <c r="CY40" i="4"/>
  <c r="CR19" i="4"/>
  <c r="CR25" i="4" s="1"/>
  <c r="CS18" i="4"/>
  <c r="CT20" i="4" l="1"/>
  <c r="CS24" i="4"/>
  <c r="CR22" i="4"/>
  <c r="CU16" i="4"/>
  <c r="CT35" i="4"/>
  <c r="CT38" i="4"/>
  <c r="CT41" i="4"/>
  <c r="CT28" i="4"/>
  <c r="CT26" i="4"/>
  <c r="CT27" i="4"/>
  <c r="CZ37" i="4"/>
  <c r="CZ40" i="4"/>
  <c r="CS19" i="4"/>
  <c r="CS25" i="4" s="1"/>
  <c r="CT18" i="4"/>
  <c r="CU20" i="4" l="1"/>
  <c r="CT24" i="4"/>
  <c r="CS22" i="4"/>
  <c r="CV16" i="4"/>
  <c r="CU26" i="4"/>
  <c r="CU41" i="4"/>
  <c r="CU35" i="4"/>
  <c r="CU28" i="4"/>
  <c r="CU27" i="4"/>
  <c r="CU38" i="4"/>
  <c r="DA37" i="4"/>
  <c r="DA40" i="4"/>
  <c r="CU18" i="4"/>
  <c r="CT19" i="4"/>
  <c r="CT25" i="4" s="1"/>
  <c r="CV20" i="4" l="1"/>
  <c r="CU24" i="4"/>
  <c r="CT22" i="4"/>
  <c r="CW16" i="4"/>
  <c r="CV38" i="4"/>
  <c r="CV41" i="4"/>
  <c r="CV28" i="4"/>
  <c r="CV27" i="4"/>
  <c r="CV35" i="4"/>
  <c r="CV26" i="4"/>
  <c r="DB37" i="4"/>
  <c r="DB40" i="4"/>
  <c r="CU19" i="4"/>
  <c r="CU25" i="4" s="1"/>
  <c r="CV18" i="4"/>
  <c r="CW20" i="4" l="1"/>
  <c r="CV24" i="4"/>
  <c r="CU22" i="4"/>
  <c r="CX16" i="4"/>
  <c r="CW35" i="4"/>
  <c r="CW28" i="4"/>
  <c r="CW26" i="4"/>
  <c r="CW41" i="4"/>
  <c r="CW27" i="4"/>
  <c r="CW38" i="4"/>
  <c r="DC37" i="4"/>
  <c r="DC40" i="4"/>
  <c r="CV19" i="4"/>
  <c r="CV25" i="4" s="1"/>
  <c r="CW18" i="4"/>
  <c r="CX20" i="4" l="1"/>
  <c r="CW24" i="4"/>
  <c r="CV22" i="4"/>
  <c r="CY16" i="4"/>
  <c r="CX35" i="4"/>
  <c r="CX28" i="4"/>
  <c r="CX41" i="4"/>
  <c r="CX27" i="4"/>
  <c r="CX26" i="4"/>
  <c r="CX38" i="4"/>
  <c r="DD37" i="4"/>
  <c r="DD40" i="4"/>
  <c r="CW19" i="4"/>
  <c r="CW25" i="4" s="1"/>
  <c r="CX18" i="4"/>
  <c r="CY20" i="4" l="1"/>
  <c r="CX24" i="4"/>
  <c r="CW22" i="4"/>
  <c r="CZ16" i="4"/>
  <c r="CY41" i="4"/>
  <c r="CY27" i="4"/>
  <c r="CY28" i="4"/>
  <c r="CY35" i="4"/>
  <c r="CY26" i="4"/>
  <c r="CY38" i="4"/>
  <c r="CY18" i="4"/>
  <c r="CX19" i="4"/>
  <c r="CX25" i="4" s="1"/>
  <c r="CZ20" i="4" l="1"/>
  <c r="CY24" i="4"/>
  <c r="CX22" i="4"/>
  <c r="DA16" i="4"/>
  <c r="CZ38" i="4"/>
  <c r="CZ27" i="4"/>
  <c r="CZ35" i="4"/>
  <c r="CZ41" i="4"/>
  <c r="CZ26" i="4"/>
  <c r="CZ28" i="4"/>
  <c r="CY19" i="4"/>
  <c r="CY25" i="4" s="1"/>
  <c r="CZ18" i="4"/>
  <c r="DA20" i="4" l="1"/>
  <c r="CZ24" i="4"/>
  <c r="CY22" i="4"/>
  <c r="DB16" i="4"/>
  <c r="DA41" i="4"/>
  <c r="DA26" i="4"/>
  <c r="DA38" i="4"/>
  <c r="DA35" i="4"/>
  <c r="DA28" i="4"/>
  <c r="DA27" i="4"/>
  <c r="CZ19" i="4"/>
  <c r="CZ25" i="4" s="1"/>
  <c r="DA18" i="4"/>
  <c r="DB20" i="4" l="1"/>
  <c r="DA24" i="4"/>
  <c r="CZ22" i="4"/>
  <c r="DC16" i="4"/>
  <c r="DB28" i="4"/>
  <c r="DB26" i="4"/>
  <c r="DB38" i="4"/>
  <c r="DB41" i="4"/>
  <c r="DB35" i="4"/>
  <c r="DB27" i="4"/>
  <c r="DA19" i="4"/>
  <c r="DA25" i="4" s="1"/>
  <c r="DB18" i="4"/>
  <c r="DC20" i="4" l="1"/>
  <c r="DB24" i="4"/>
  <c r="DA22" i="4"/>
  <c r="DD16" i="4"/>
  <c r="DC28" i="4"/>
  <c r="DC27" i="4"/>
  <c r="DC38" i="4"/>
  <c r="DC41" i="4"/>
  <c r="DC35" i="4"/>
  <c r="DC26" i="4"/>
  <c r="DC18" i="4"/>
  <c r="DB19" i="4"/>
  <c r="DB25" i="4" s="1"/>
  <c r="DD20" i="4" l="1"/>
  <c r="DD24" i="4" s="1"/>
  <c r="DC24" i="4"/>
  <c r="DB22" i="4"/>
  <c r="DD41" i="4"/>
  <c r="DD28" i="4"/>
  <c r="B31" i="4" s="1"/>
  <c r="DD26" i="4"/>
  <c r="B30" i="4" s="1"/>
  <c r="DD27" i="4"/>
  <c r="DD38" i="4"/>
  <c r="DD35" i="4"/>
  <c r="DC19" i="4"/>
  <c r="DC25" i="4" s="1"/>
  <c r="DD18" i="4"/>
  <c r="DD19" i="4" s="1"/>
  <c r="DD25" i="4" l="1"/>
  <c r="DC22" i="4"/>
  <c r="DD22" i="4"/>
</calcChain>
</file>

<file path=xl/comments1.xml><?xml version="1.0" encoding="utf-8"?>
<comments xmlns="http://schemas.openxmlformats.org/spreadsheetml/2006/main">
  <authors>
    <author>Ström Pär, PLee</author>
  </authors>
  <commentList>
    <comment ref="K25" authorId="0" shapeId="0">
      <text>
        <r>
          <rPr>
            <b/>
            <sz val="9"/>
            <color indexed="81"/>
            <rFont val="Tahoma"/>
            <family val="2"/>
          </rPr>
          <t>Ström Pär, PLee:</t>
        </r>
        <r>
          <rPr>
            <sz val="9"/>
            <color indexed="81"/>
            <rFont val="Tahoma"/>
            <family val="2"/>
          </rPr>
          <t xml:space="preserve">
Drivmedel (inkl drivmedelskatter) 2040, enligt bränsleprisprognos B, kr per fordonskm</t>
        </r>
      </text>
    </comment>
    <comment ref="R29" authorId="0" shapeId="0">
      <text>
        <r>
          <rPr>
            <b/>
            <sz val="9"/>
            <color indexed="81"/>
            <rFont val="Tahoma"/>
            <family val="2"/>
          </rPr>
          <t>Ström Pär, PLee:</t>
        </r>
        <r>
          <rPr>
            <sz val="9"/>
            <color indexed="81"/>
            <rFont val="Tahoma"/>
            <family val="2"/>
          </rPr>
          <t xml:space="preserve">
Källa: Diesel lastbil (bulk), prognos B med högre andel biobränsle, kr/liter flik Bränslepris. ASEK 7 rad 105 kolumn J.</t>
        </r>
      </text>
    </comment>
  </commentList>
</comments>
</file>

<file path=xl/comments2.xml><?xml version="1.0" encoding="utf-8"?>
<comments xmlns="http://schemas.openxmlformats.org/spreadsheetml/2006/main">
  <authors>
    <author>Berell, Håkan</author>
    <author>Ström Pär, PLee</author>
    <author>Ström Pär, PLet</author>
    <author>Sahlgren Daniel, Sple</author>
  </authors>
  <commentList>
    <comment ref="B25" authorId="0" shapeId="0">
      <text>
        <r>
          <rPr>
            <b/>
            <sz val="9"/>
            <color indexed="81"/>
            <rFont val="Tahoma"/>
            <family val="2"/>
          </rPr>
          <t>Berell, Håkan:</t>
        </r>
        <r>
          <rPr>
            <sz val="9"/>
            <color indexed="81"/>
            <rFont val="Tahoma"/>
            <family val="2"/>
          </rPr>
          <t xml:space="preserve">
Då lågtrafikerade banor ofta har ett persontrafikserbjudande som är mindre attraktivt kan man förmoda att de som utför regionala tågresor på LTB-banor i större utsträckning utför "övrigt"-resor än vad som är fallet för det regionala tågresandet i landet i genomsnitt.</t>
        </r>
      </text>
    </comment>
    <comment ref="F77" authorId="1" shapeId="0">
      <text>
        <r>
          <rPr>
            <b/>
            <sz val="9"/>
            <color indexed="81"/>
            <rFont val="Tahoma"/>
            <charset val="1"/>
          </rPr>
          <t>Ström Pär, PLee:</t>
        </r>
        <r>
          <rPr>
            <sz val="9"/>
            <color indexed="81"/>
            <rFont val="Tahoma"/>
            <charset val="1"/>
          </rPr>
          <t xml:space="preserve">
Ska vara i decimalform.
T ex 10% ska anges som 0,10</t>
        </r>
      </text>
    </comment>
    <comment ref="K82" authorId="2" shapeId="0">
      <text>
        <r>
          <rPr>
            <b/>
            <sz val="9"/>
            <color indexed="81"/>
            <rFont val="Tahoma"/>
            <family val="2"/>
          </rPr>
          <t>Ström Pär, PLet:</t>
        </r>
        <r>
          <rPr>
            <sz val="9"/>
            <color indexed="81"/>
            <rFont val="Tahoma"/>
            <family val="2"/>
          </rPr>
          <t xml:space="preserve">
Används ej</t>
        </r>
      </text>
    </comment>
    <comment ref="K83" authorId="2" shapeId="0">
      <text>
        <r>
          <rPr>
            <b/>
            <sz val="9"/>
            <color indexed="81"/>
            <rFont val="Tahoma"/>
            <family val="2"/>
          </rPr>
          <t>Ström Pär, PLet:</t>
        </r>
        <r>
          <rPr>
            <sz val="9"/>
            <color indexed="81"/>
            <rFont val="Tahoma"/>
            <family val="2"/>
          </rPr>
          <t xml:space="preserve">
Används ej
</t>
        </r>
      </text>
    </comment>
    <comment ref="A119" authorId="0" shapeId="0">
      <text>
        <r>
          <rPr>
            <b/>
            <sz val="9"/>
            <color indexed="81"/>
            <rFont val="Tahoma"/>
            <family val="2"/>
          </rPr>
          <t>Berell, Håkan:</t>
        </r>
        <r>
          <rPr>
            <sz val="9"/>
            <color indexed="81"/>
            <rFont val="Tahoma"/>
            <family val="2"/>
          </rPr>
          <t xml:space="preserve">
0,134 kr/ntonkm är skatterna för Lbs enligt Pär Ströms excelfil.</t>
        </r>
      </text>
    </comment>
    <comment ref="B144" authorId="3" shapeId="0">
      <text>
        <r>
          <rPr>
            <b/>
            <sz val="9"/>
            <color indexed="81"/>
            <rFont val="Tahoma"/>
            <family val="2"/>
          </rPr>
          <t>Sahlgren Daniel, Sple:</t>
        </r>
        <r>
          <rPr>
            <sz val="9"/>
            <color indexed="81"/>
            <rFont val="Tahoma"/>
            <family val="2"/>
          </rPr>
          <t xml:space="preserve">
bansekvärde/1,34
</t>
        </r>
      </text>
    </comment>
    <comment ref="F144" authorId="3" shapeId="0">
      <text>
        <r>
          <rPr>
            <b/>
            <sz val="9"/>
            <color indexed="81"/>
            <rFont val="Tahoma"/>
            <family val="2"/>
          </rPr>
          <t>Sahlgren Daniel, Sple:</t>
        </r>
        <r>
          <rPr>
            <sz val="9"/>
            <color indexed="81"/>
            <rFont val="Tahoma"/>
            <family val="2"/>
          </rPr>
          <t xml:space="preserve">
Bansekvärden</t>
        </r>
      </text>
    </comment>
  </commentList>
</comments>
</file>

<file path=xl/comments3.xml><?xml version="1.0" encoding="utf-8"?>
<comments xmlns="http://schemas.openxmlformats.org/spreadsheetml/2006/main">
  <authors>
    <author>sehb13334</author>
  </authors>
  <commentList>
    <comment ref="H26" authorId="0" shapeId="0">
      <text>
        <r>
          <rPr>
            <b/>
            <sz val="8"/>
            <color indexed="81"/>
            <rFont val="Tahoma"/>
            <family val="2"/>
          </rPr>
          <t>sehb13334:</t>
        </r>
        <r>
          <rPr>
            <sz val="8"/>
            <color indexed="81"/>
            <rFont val="Tahoma"/>
            <family val="2"/>
          </rPr>
          <t xml:space="preserve">
Denna cell är intressant ifall en andel av resenärerna i JA reser med tåg förbi den första större orten (se fig til vänster) och vidare in på en mer högtrafikerad bana. Om tågen på den lågtrafikerade banan bara "matar" till större ort vid högtrafikerad bana så skall det inte anges några "genomgående resenärer" i denna cell. Alla måste ändå byta till tåg vare sig det är från tåg-tåg eller (vid nedläggning) från buss-tåg.
Här anges indata till beräkningen av "bytestidsförlusten" som uppkommer eftersom en del resenärer som tidigare kunde resa med tåg från ort längs lågtrafikerad bana utan byte till annan större ort längs det högtrafikerade nätet  nu istället måste resa med buss till station med järnvägstrafik och där byta till tåg.
Det som skall anges här är tidsmarginalen mellan bussarna planerade ankomst till den ort där byte till tåg skall ske och tågens avgångstid. Eftersom lågtrafikerade banor har en låg turtäthet är det rimligt att anta att det finns en tidspassning vid bytespunkter. Denna bör rimligen vara ca 5-10 minuter.
</t>
        </r>
      </text>
    </comment>
    <comment ref="J29" authorId="0" shapeId="0">
      <text>
        <r>
          <rPr>
            <b/>
            <sz val="8"/>
            <color indexed="81"/>
            <rFont val="Tahoma"/>
            <family val="2"/>
          </rPr>
          <t>sehb13334:</t>
        </r>
        <r>
          <rPr>
            <sz val="8"/>
            <color indexed="81"/>
            <rFont val="Tahoma"/>
            <family val="2"/>
          </rPr>
          <t xml:space="preserve">
Här anges en uppskattning av genomsnittlig restid för de resenärer som reser till/från just denna ort. Station till station.</t>
        </r>
      </text>
    </comment>
    <comment ref="K29" authorId="0" shapeId="0">
      <text>
        <r>
          <rPr>
            <b/>
            <sz val="8"/>
            <color indexed="81"/>
            <rFont val="Tahoma"/>
            <family val="2"/>
          </rPr>
          <t>Håkan:</t>
        </r>
        <r>
          <rPr>
            <sz val="8"/>
            <color indexed="81"/>
            <rFont val="Tahoma"/>
            <family val="2"/>
          </rPr>
          <t xml:space="preserve">
Här kan två typer av tidsförluster anges, som är teoretiskt olika:
</t>
        </r>
        <r>
          <rPr>
            <b/>
            <sz val="8"/>
            <color indexed="81"/>
            <rFont val="Tahoma"/>
            <family val="2"/>
          </rPr>
          <t xml:space="preserve">1) </t>
        </r>
        <r>
          <rPr>
            <sz val="8"/>
            <color indexed="81"/>
            <rFont val="Tahoma"/>
            <family val="2"/>
          </rPr>
          <t xml:space="preserve">Om tågtrafik finns i både JA och UA kan den eventuella tidsskillnaden mellan tåg(JA) och tåg(UA) anges i denna kolumn.
</t>
        </r>
        <r>
          <rPr>
            <b/>
            <sz val="8"/>
            <color indexed="81"/>
            <rFont val="Tahoma"/>
            <family val="2"/>
          </rPr>
          <t xml:space="preserve">2) </t>
        </r>
        <r>
          <rPr>
            <sz val="8"/>
            <color indexed="81"/>
            <rFont val="Tahoma"/>
            <family val="2"/>
          </rPr>
          <t xml:space="preserve">Om tågtrafiken läggs ned på grund av det reducerade vidmakthållandet och banan endast drivs vidare för godstrafikens skull (dvs om antal tåg i UA-kolumnen sätts till 0) så måste tågens restid i JA jämföras med det så kallade "schablontåget" (se Trafikverkets metod-PM för detaljer). Schablontågets restid är lika med den sämsta restid resenärerna kan tänkas acceptera innan dom skulle välja att åka buss istället. Schablontågets restid (dvs smärtgränsen för resenärerna) är sannolikt beroende av hur pass bra alternativ som finns tillgängligt. 
I många fall kan nog bussrestiden användas som en approximation för schablontågets restid, eftersom många nog skulle föredra buss före tåg ifall bussen vore snabbare. 
</t>
        </r>
        <r>
          <rPr>
            <b/>
            <sz val="8"/>
            <color indexed="81"/>
            <rFont val="Tahoma"/>
            <family val="2"/>
          </rPr>
          <t>Hur anges tidsförlusten?</t>
        </r>
        <r>
          <rPr>
            <sz val="8"/>
            <color indexed="81"/>
            <rFont val="Tahoma"/>
            <family val="2"/>
          </rPr>
          <t xml:space="preserve">
Här anges hur restiden förändras, mätt från viss ort på lågtrafikerad bana till ändpunkten på den lågtrafikerade banan (dvs till den ort resenären ville resa till eller den ort där resenären byter till annat tåg för fortsatt resa)</t>
        </r>
      </text>
    </comment>
    <comment ref="H30" authorId="0" shapeId="0">
      <text>
        <r>
          <rPr>
            <b/>
            <sz val="8"/>
            <color indexed="81"/>
            <rFont val="Tahoma"/>
            <family val="2"/>
          </rPr>
          <t>sehb13334:</t>
        </r>
        <r>
          <rPr>
            <sz val="8"/>
            <color indexed="81"/>
            <rFont val="Tahoma"/>
            <family val="2"/>
          </rPr>
          <t xml:space="preserve">
Här anges vilken andel av resenärerna som skall resa förbi den första större orten (se figur till vänster) och som valt att åka buss till första större orten och för att därifrån åka vidare med tåg. 
Resenärerna kommer att åka buss till första större ort och därefter åka med tåg endast om antal tåg i UA sätts till 0. Dvs om persontrafiken läggs ner. Om tågUA inte är lika med 0 så beaktas inte värdet i denna cell.
Dessa resenärer finns även med i cellerna nedanför, där det beräknas hur mycket snabbare tåget är jämfört med bussen från de små orterna fram till den första större orten där trafiken är genomgående. Således skall andelarna för de olika orterna summera till 100 % och andel genomgående resor vara utöver 100 %.</t>
        </r>
      </text>
    </comment>
    <comment ref="M32" authorId="0" shapeId="0">
      <text>
        <r>
          <rPr>
            <b/>
            <sz val="8"/>
            <color indexed="81"/>
            <rFont val="Tahoma"/>
            <family val="2"/>
          </rPr>
          <t>Håkan:</t>
        </r>
        <r>
          <rPr>
            <sz val="8"/>
            <color indexed="81"/>
            <rFont val="Tahoma"/>
            <family val="2"/>
          </rPr>
          <t xml:space="preserve">
Denna cell är av särskild betydelse då en 0:a i denna ruta styr om det skall falla ut bytestidsförluster för genomgående resenärer (vid nedläggning av trafiken).</t>
        </r>
      </text>
    </comment>
    <comment ref="A78" authorId="0" shapeId="0">
      <text>
        <r>
          <rPr>
            <b/>
            <sz val="8"/>
            <color indexed="81"/>
            <rFont val="Tahoma"/>
            <family val="2"/>
          </rPr>
          <t>sehb13334:</t>
        </r>
        <r>
          <rPr>
            <sz val="8"/>
            <color indexed="81"/>
            <rFont val="Tahoma"/>
            <family val="2"/>
          </rPr>
          <t xml:space="preserve">
Denna uppgift räknas lämpligen fram genom att kolla vad månadskort och vad kontantpriset är för olika resrelationer. För månadskort kan det antas att resenären gör 40 resor i månaden. - ifall bättre uppgifter inte finns tillgängliga.</t>
        </r>
      </text>
    </comment>
  </commentList>
</comments>
</file>

<file path=xl/comments4.xml><?xml version="1.0" encoding="utf-8"?>
<comments xmlns="http://schemas.openxmlformats.org/spreadsheetml/2006/main">
  <authors>
    <author>sehb13334</author>
    <author>Ahlenius Helen, PLet</author>
  </authors>
  <commentList>
    <comment ref="AJ3" authorId="0" shapeId="0">
      <text>
        <r>
          <rPr>
            <b/>
            <sz val="8"/>
            <color indexed="81"/>
            <rFont val="Tahoma"/>
            <family val="2"/>
          </rPr>
          <t>sehb13334:</t>
        </r>
        <r>
          <rPr>
            <sz val="8"/>
            <color indexed="81"/>
            <rFont val="Tahoma"/>
            <family val="2"/>
          </rPr>
          <t xml:space="preserve">
</t>
        </r>
      </text>
    </comment>
    <comment ref="C4" authorId="0" shapeId="0">
      <text>
        <r>
          <rPr>
            <b/>
            <sz val="8"/>
            <color indexed="81"/>
            <rFont val="Tahoma"/>
            <family val="2"/>
          </rPr>
          <t>Håkan:</t>
        </r>
        <r>
          <rPr>
            <sz val="8"/>
            <color indexed="81"/>
            <rFont val="Tahoma"/>
            <family val="2"/>
          </rPr>
          <t xml:space="preserve">
Ett tåg som går i visst omlopp avgår ett visst antal gånger per vecka. Olika flöden avgår dock olika många veckor per år. Summera antal avgångar (dvs antal omlopp) per år. I ett omlopp brukar det vara lika många vagnar i både riktningarna. 
Eftersom denna modell är tänkt att beräkna kr/nettoton så är det viktigt att beakta effektiviteten i tågtrafiken. Således är det inte möjligt att direkt summera antal vagnar per år (vilket skulle vara enklare) utan det är av betydelse om tågavgångarna sker med 5 eller 30 vagnar bakom dragkroken.</t>
        </r>
      </text>
    </comment>
    <comment ref="F4" authorId="0" shapeId="0">
      <text>
        <r>
          <rPr>
            <b/>
            <sz val="8"/>
            <color indexed="81"/>
            <rFont val="Tahoma"/>
            <family val="2"/>
          </rPr>
          <t>Håkan:</t>
        </r>
        <r>
          <rPr>
            <sz val="8"/>
            <color indexed="81"/>
            <rFont val="Tahoma"/>
            <family val="2"/>
          </rPr>
          <t xml:space="preserve">
Sker det ett byte från diesellok till ellok under färdens gång?
Detta påverkar här godstidsvärdet och den tidsberoende tågdriftkostnaden.</t>
        </r>
      </text>
    </comment>
    <comment ref="G4" authorId="0" shapeId="0">
      <text>
        <r>
          <rPr>
            <b/>
            <sz val="8"/>
            <color indexed="81"/>
            <rFont val="Tahoma"/>
            <family val="2"/>
          </rPr>
          <t>Håkan:</t>
        </r>
        <r>
          <rPr>
            <sz val="8"/>
            <color indexed="81"/>
            <rFont val="Tahoma"/>
            <family val="2"/>
          </rPr>
          <t xml:space="preserve">
Avser hela vägen från start till må (exklusive tid för eventuell lokrundgång, som hanteras i kolumn G)l.</t>
        </r>
      </text>
    </comment>
    <comment ref="J4" authorId="0" shapeId="0">
      <text>
        <r>
          <rPr>
            <b/>
            <sz val="8"/>
            <color indexed="81"/>
            <rFont val="Tahoma"/>
            <family val="2"/>
          </rPr>
          <t>Håkan:</t>
        </r>
        <r>
          <rPr>
            <sz val="8"/>
            <color indexed="81"/>
            <rFont val="Tahoma"/>
            <family val="2"/>
          </rPr>
          <t xml:space="preserve">
Det tar tid att lasta/lossa tåg och lastbilar. Det tar dock längre tid när tågbyggnadsprocessen även skall räknas med. En del tåg skall dessutom passera en rangerbangård. Här skall det anges den extra tidsåtgång som går åt i samband med lastnin/lossning/tågbyggande/rangering jämfört med den tid det tar om volymerna hanteras med lastbil.
De värden som skrivs in här är egentligen bara av betydelse i samband med nedläggning av godstrafiken på järnväg (via jämförelsen kr/nettotonkm/timme för järnväg och lastbil), men det blir inte fel att ange denna extratid även vid reducerat vidmakthållande. I det senare fallet finns kostnaden med (för järnväg) både i JA och UA, vilket gör att effekten "försvinner".
Den extra tidsåtgång som anges här påverkar två saker: 1) Varuvärdet (tidskostnad), och 2)  Den tidsberoende operativa tågkostnaden. Vad gäller kostnaden kan följande anmärkning göras: Under tågbyggnad och rangering så är vagnkapitalet uppbundet, dock inte loket och lokföraren. Men å andra sidan finns det vanligtvis ett växellok inblandat + växlingspersonal. Här görs det förenklande antagandet att dessa saker tar ut varandra. I en cell nedanför denna tabell (D45) finns det möjlighet att skriva in hur många personer extra som är knutna till tågbyggandet. Denna cell (D45) är kopplad till just denna kolumn (extra tidåtgång), så om bedömningen är att tågbyggnadsprocessen är mer personalkrävande kan extra lönekostnader tillföras.</t>
        </r>
      </text>
    </comment>
    <comment ref="K4" authorId="0" shapeId="0">
      <text>
        <r>
          <rPr>
            <b/>
            <sz val="8"/>
            <color indexed="81"/>
            <rFont val="Tahoma"/>
            <family val="2"/>
          </rPr>
          <t>Håkan:</t>
        </r>
        <r>
          <rPr>
            <sz val="8"/>
            <color indexed="81"/>
            <rFont val="Tahoma"/>
            <family val="2"/>
          </rPr>
          <t xml:space="preserve">
Antal extra omlastningar vid järnvägstransport, jämfört med lastbil. Påverkar kostnaden i både JA och UA. Därmed är detta inte känsligt i UA1, men väger tungt i UA2.</t>
        </r>
      </text>
    </comment>
    <comment ref="X4" authorId="0" shapeId="0">
      <text>
        <r>
          <rPr>
            <b/>
            <sz val="8"/>
            <color indexed="81"/>
            <rFont val="Tahoma"/>
            <family val="2"/>
          </rPr>
          <t>Håkan:</t>
        </r>
        <r>
          <rPr>
            <sz val="8"/>
            <color indexed="81"/>
            <rFont val="Tahoma"/>
            <family val="2"/>
          </rPr>
          <t xml:space="preserve">
Lasten måste summera till 100 %.</t>
        </r>
      </text>
    </comment>
    <comment ref="AA4" authorId="0" shapeId="0">
      <text>
        <r>
          <rPr>
            <b/>
            <sz val="8"/>
            <color indexed="81"/>
            <rFont val="Tahoma"/>
            <family val="2"/>
          </rPr>
          <t>Håkan:</t>
        </r>
        <r>
          <rPr>
            <sz val="8"/>
            <color indexed="81"/>
            <rFont val="Tahoma"/>
            <family val="2"/>
          </rPr>
          <t xml:space="preserve">
Tomandelen påverkar transportkostnaden via den högre kostnad per vagnkm som uppkommer när vagnen är lastad. Således är tomandelen viktrelaterad och det som skall anges här är avvikelsen mellan maximal vikt (tillåten stax * antal axlar per vagn) och den faktiska vikten (vagnens taravikt + antal nettoton som lastats på vagnen). Taravikt = vagnvikten utan last. Detta innebär i sin tur att en vagn som är proppful,l sett till volym, men där lasten har en låg densitet och därmed inte väger så mycket ändå kan få en hög tomandel.
</t>
        </r>
      </text>
    </comment>
    <comment ref="AB4" authorId="0" shapeId="0">
      <text>
        <r>
          <rPr>
            <b/>
            <sz val="8"/>
            <color indexed="81"/>
            <rFont val="Tahoma"/>
            <family val="2"/>
          </rPr>
          <t>Håkan:</t>
        </r>
        <r>
          <rPr>
            <sz val="8"/>
            <color indexed="81"/>
            <rFont val="Tahoma"/>
            <family val="2"/>
          </rPr>
          <t xml:space="preserve">
Påverkar järnvägsvolymen via transportkostnadselasticiteten + operativ transportkostnad direkt.</t>
        </r>
      </text>
    </comment>
    <comment ref="AD4" authorId="0" shapeId="0">
      <text>
        <r>
          <rPr>
            <b/>
            <sz val="8"/>
            <color indexed="81"/>
            <rFont val="Tahoma"/>
            <family val="2"/>
          </rPr>
          <t>Håkan:</t>
        </r>
        <r>
          <rPr>
            <sz val="8"/>
            <color indexed="81"/>
            <rFont val="Tahoma"/>
            <family val="2"/>
          </rPr>
          <t xml:space="preserve">
Det gör en el och en diesel beräkning. Därefter viktas dessa ihop utifrån andelen el-km och diesel-km)</t>
        </r>
      </text>
    </comment>
    <comment ref="AE4" authorId="0" shapeId="0">
      <text>
        <r>
          <rPr>
            <b/>
            <sz val="8"/>
            <color indexed="81"/>
            <rFont val="Tahoma"/>
            <family val="2"/>
          </rPr>
          <t>Håkan:</t>
        </r>
        <r>
          <rPr>
            <sz val="8"/>
            <color indexed="81"/>
            <rFont val="Tahoma"/>
            <family val="2"/>
          </rPr>
          <t xml:space="preserve">
El och diesel har samma kostnadsfuntion.</t>
        </r>
      </text>
    </comment>
    <comment ref="AG4" authorId="0" shapeId="0">
      <text>
        <r>
          <rPr>
            <b/>
            <sz val="8"/>
            <color indexed="81"/>
            <rFont val="Tahoma"/>
            <family val="2"/>
          </rPr>
          <t>sehb13334:</t>
        </r>
        <r>
          <rPr>
            <sz val="8"/>
            <color indexed="81"/>
            <rFont val="Tahoma"/>
            <family val="2"/>
          </rPr>
          <t xml:space="preserve">
</t>
        </r>
      </text>
    </comment>
    <comment ref="AJ4" authorId="0" shapeId="0">
      <text>
        <r>
          <rPr>
            <b/>
            <sz val="8"/>
            <color indexed="81"/>
            <rFont val="Tahoma"/>
            <family val="2"/>
          </rPr>
          <t>Håkan:</t>
        </r>
        <r>
          <rPr>
            <sz val="8"/>
            <color indexed="81"/>
            <rFont val="Tahoma"/>
            <family val="2"/>
          </rPr>
          <t xml:space="preserve">
Stax och Stvm är ännu inte beaktat...</t>
        </r>
      </text>
    </comment>
    <comment ref="AN4" authorId="0" shapeId="0">
      <text>
        <r>
          <rPr>
            <b/>
            <sz val="8"/>
            <color indexed="81"/>
            <rFont val="Tahoma"/>
            <family val="2"/>
          </rPr>
          <t>Håkan:</t>
        </r>
        <r>
          <rPr>
            <sz val="8"/>
            <color indexed="81"/>
            <rFont val="Tahoma"/>
            <family val="2"/>
          </rPr>
          <t xml:space="preserve">
AR och AS är samma som AP och AQ, med skillnaden att stax/stvm/tid läggs till, fördelat utifrån den proportion mellan avstånds och tidsberoende kostnader som räknas fram i AP och AQ.
</t>
        </r>
      </text>
    </comment>
    <comment ref="AX4" authorId="0" shapeId="0">
      <text>
        <r>
          <rPr>
            <b/>
            <sz val="8"/>
            <color indexed="81"/>
            <rFont val="Tahoma"/>
            <family val="2"/>
          </rPr>
          <t>Håkan:</t>
        </r>
        <r>
          <rPr>
            <sz val="8"/>
            <color indexed="81"/>
            <rFont val="Tahoma"/>
            <family val="2"/>
          </rPr>
          <t xml:space="preserve">
Ifall det inte anges en exogent bedömning av hur stor volym som flyttas från järnväg till väg så beräknas den överflyttade volymen utifrån förändringar av transportkostnaden. 
Det finns även en transporttidselasticitet i BVH 706, men det har bedömts/antagits att tidseffekten huvudsakligen påverkar efterfrågan via transportkostnaden.
</t>
        </r>
      </text>
    </comment>
    <comment ref="I5" authorId="0" shapeId="0">
      <text>
        <r>
          <rPr>
            <b/>
            <sz val="8"/>
            <color indexed="81"/>
            <rFont val="Tahoma"/>
            <family val="2"/>
          </rPr>
          <t>Håkan:</t>
        </r>
        <r>
          <rPr>
            <sz val="8"/>
            <color indexed="81"/>
            <rFont val="Tahoma"/>
            <family val="2"/>
          </rPr>
          <t xml:space="preserve">
Transportkostnaden beror av stax och stvm (</t>
        </r>
        <r>
          <rPr>
            <b/>
            <sz val="8"/>
            <color indexed="81"/>
            <rFont val="Tahoma"/>
            <family val="2"/>
          </rPr>
          <t>s</t>
        </r>
        <r>
          <rPr>
            <sz val="8"/>
            <color indexed="81"/>
            <rFont val="Tahoma"/>
            <family val="2"/>
          </rPr>
          <t xml:space="preserve">törta </t>
        </r>
        <r>
          <rPr>
            <b/>
            <sz val="8"/>
            <color indexed="81"/>
            <rFont val="Tahoma"/>
            <family val="2"/>
          </rPr>
          <t>t</t>
        </r>
        <r>
          <rPr>
            <sz val="8"/>
            <color indexed="81"/>
            <rFont val="Tahoma"/>
            <family val="2"/>
          </rPr>
          <t xml:space="preserve">illåtna </t>
        </r>
        <r>
          <rPr>
            <b/>
            <sz val="8"/>
            <color indexed="81"/>
            <rFont val="Tahoma"/>
            <family val="2"/>
          </rPr>
          <t>ax</t>
        </r>
        <r>
          <rPr>
            <sz val="8"/>
            <color indexed="81"/>
            <rFont val="Tahoma"/>
            <family val="2"/>
          </rPr>
          <t xml:space="preserve">ellast och </t>
        </r>
        <r>
          <rPr>
            <b/>
            <sz val="8"/>
            <color indexed="81"/>
            <rFont val="Tahoma"/>
            <family val="2"/>
          </rPr>
          <t>v</t>
        </r>
        <r>
          <rPr>
            <sz val="8"/>
            <color indexed="81"/>
            <rFont val="Tahoma"/>
            <family val="2"/>
          </rPr>
          <t xml:space="preserve">ikt per </t>
        </r>
        <r>
          <rPr>
            <b/>
            <sz val="8"/>
            <color indexed="81"/>
            <rFont val="Tahoma"/>
            <family val="2"/>
          </rPr>
          <t>m</t>
        </r>
        <r>
          <rPr>
            <sz val="8"/>
            <color indexed="81"/>
            <rFont val="Tahoma"/>
            <family val="2"/>
          </rPr>
          <t xml:space="preserve">eter) på så sätt att behovet av antal vagnar ökar när man inte kan lasta lika mycket i varje vagn.
Hur en förändring av stax slår beror i sin tur av vad det är för typ av varor som transporteras. Om allt gods har låg densitet så påverkar stax inte kostnaden alls. Därför behöver förändringen av stax och/eller stvm beräknas från fall till fall. Den modell som finns här kan användas som en räknesnurra, men beräkningen av med hur många % transportkostnaden förändras vid aktuell förändring av stax/stvm måste beräknas vid sidan av. Den framräknade procentsatsen kan sedan anges i denna kolumn. </t>
        </r>
      </text>
    </comment>
    <comment ref="H6" authorId="1" shapeId="0">
      <text>
        <r>
          <rPr>
            <b/>
            <sz val="9"/>
            <color indexed="81"/>
            <rFont val="Tahoma"/>
            <family val="2"/>
          </rPr>
          <t>Ahlenius Helen, PLet:</t>
        </r>
        <r>
          <rPr>
            <sz val="9"/>
            <color indexed="81"/>
            <rFont val="Tahoma"/>
            <family val="2"/>
          </rPr>
          <t xml:space="preserve">
Sträckan blir kvar som spärrfärd. En spärrfärd går med 40 eller 70 km/h. Här beräknat som 40 km/h.
</t>
        </r>
      </text>
    </comment>
    <comment ref="AU6" authorId="0" shapeId="0">
      <text>
        <r>
          <rPr>
            <b/>
            <sz val="8"/>
            <color indexed="81"/>
            <rFont val="Tahoma"/>
            <family val="2"/>
          </rPr>
          <t>Håkan:</t>
        </r>
        <r>
          <rPr>
            <sz val="8"/>
            <color indexed="81"/>
            <rFont val="Tahoma"/>
            <family val="2"/>
          </rPr>
          <t xml:space="preserve">
Tidsberoende kostnad genom nettotonkm (inklusive den tid som går åt vid eventuell lokbyte och den kostnad som tillkommer vid ett eventuellt extra lyft eller motsvarande).</t>
        </r>
      </text>
    </comment>
    <comment ref="AW6" authorId="0" shapeId="0">
      <text>
        <r>
          <rPr>
            <b/>
            <sz val="8"/>
            <color indexed="81"/>
            <rFont val="Tahoma"/>
            <family val="2"/>
          </rPr>
          <t>Håkan:</t>
        </r>
        <r>
          <rPr>
            <sz val="8"/>
            <color indexed="81"/>
            <rFont val="Tahoma"/>
            <family val="2"/>
          </rPr>
          <t xml:space="preserve">
UA:s kostnad divideras med JA:s nettotontimmar. Annars blir kr/ntontim lägre i UA än i JA.</t>
        </r>
      </text>
    </comment>
    <comment ref="H7" authorId="1" shapeId="0">
      <text>
        <r>
          <rPr>
            <b/>
            <sz val="9"/>
            <color indexed="81"/>
            <rFont val="Tahoma"/>
            <family val="2"/>
          </rPr>
          <t>Ahlenius Helen, PLet:</t>
        </r>
        <r>
          <rPr>
            <sz val="9"/>
            <color indexed="81"/>
            <rFont val="Tahoma"/>
            <family val="2"/>
          </rPr>
          <t xml:space="preserve">
Här räknar jag med ett genomsnitt av 40 och 70 km/h eftersom det är en längre sträcka.</t>
        </r>
      </text>
    </comment>
  </commentList>
</comments>
</file>

<file path=xl/comments5.xml><?xml version="1.0" encoding="utf-8"?>
<comments xmlns="http://schemas.openxmlformats.org/spreadsheetml/2006/main">
  <authors>
    <author>sehb13334</author>
    <author>Ahlenius Helen, PLet</author>
  </authors>
  <commentList>
    <comment ref="H26" authorId="0" shapeId="0">
      <text>
        <r>
          <rPr>
            <b/>
            <sz val="8"/>
            <color indexed="81"/>
            <rFont val="Tahoma"/>
            <family val="2"/>
          </rPr>
          <t>sehb13334:</t>
        </r>
        <r>
          <rPr>
            <sz val="8"/>
            <color indexed="81"/>
            <rFont val="Tahoma"/>
            <family val="2"/>
          </rPr>
          <t xml:space="preserve">
Denna cell är intressant ifall en andel av resenärerna i JA reser med tåg förbi den första större orten (se fig til vänster) och vidare in på en mer högtrafikerad bana. Om tågen på den lågtrafikerade banan bara "matar" till större ort vid högtrafikerad bana så skall det inte anges några "genomgående resenärer" i denna cell. Alla måste ändå byta till tåg vare sig det är från tåg-tåg eller (vid nedläggning) från buss-tåg.
Här anges indata till beräkningen av "bytestidsförlusten" som uppkommer eftersom en del resenärer som tidigare kunde resa med tåg från ort längs lågtrafikerad bana utan byte till annan större ort längs det högtrafikerade nätet  nu istället måste resa med buss till station med järnvägstrafik och där byta till tåg.
Det som skall anges här är tidsmarginalen mellan bussarna planerade ankomst till den ort där byte till tåg skall ske och tågens avgångstid. Eftersom lågtrafikerade banor har en låg turtäthet är det rimligt att anta att det finns en tidspassning vid bytespunkter. Denna bör rimligen vara ca 5-10 minuter.
</t>
        </r>
      </text>
    </comment>
    <comment ref="J29" authorId="0" shapeId="0">
      <text>
        <r>
          <rPr>
            <b/>
            <sz val="8"/>
            <color indexed="81"/>
            <rFont val="Tahoma"/>
            <family val="2"/>
          </rPr>
          <t>sehb13334:</t>
        </r>
        <r>
          <rPr>
            <sz val="8"/>
            <color indexed="81"/>
            <rFont val="Tahoma"/>
            <family val="2"/>
          </rPr>
          <t xml:space="preserve">
Här anges en uppskattning av genomsnittlig restid för de resenärer som reser till/från just denna ort. Station till station.</t>
        </r>
      </text>
    </comment>
    <comment ref="K29" authorId="0" shapeId="0">
      <text>
        <r>
          <rPr>
            <b/>
            <sz val="8"/>
            <color indexed="81"/>
            <rFont val="Tahoma"/>
            <family val="2"/>
          </rPr>
          <t>Håkan:</t>
        </r>
        <r>
          <rPr>
            <sz val="8"/>
            <color indexed="81"/>
            <rFont val="Tahoma"/>
            <family val="2"/>
          </rPr>
          <t xml:space="preserve">
Här kan två typer av tidsförluster anges, som är teoretiskt olika:
</t>
        </r>
        <r>
          <rPr>
            <b/>
            <sz val="8"/>
            <color indexed="81"/>
            <rFont val="Tahoma"/>
            <family val="2"/>
          </rPr>
          <t xml:space="preserve">1) </t>
        </r>
        <r>
          <rPr>
            <sz val="8"/>
            <color indexed="81"/>
            <rFont val="Tahoma"/>
            <family val="2"/>
          </rPr>
          <t xml:space="preserve">Om tågtrafik finns i både JA och UA kan den eventuella tidsskillnaden mellan tåg(JA) och tåg(UA) anges i denna kolumn.
</t>
        </r>
        <r>
          <rPr>
            <b/>
            <sz val="8"/>
            <color indexed="81"/>
            <rFont val="Tahoma"/>
            <family val="2"/>
          </rPr>
          <t xml:space="preserve">2) </t>
        </r>
        <r>
          <rPr>
            <sz val="8"/>
            <color indexed="81"/>
            <rFont val="Tahoma"/>
            <family val="2"/>
          </rPr>
          <t xml:space="preserve">Om tågtrafiken läggs ned på grund av det reducerade vidmakthållandet och banan endast drivs vidare för godstrafikens skull (dvs om antal tåg i UA-kolumnen sätts till 0) så måste tågens restid i JA jämföras med det så kallade "schablontåget" (se Trafikverkets metod-PM för detaljer). Schablontågets restid är lika med den sämsta restid resenärerna kan tänkas acceptera innan dom skulle välja att åka buss istället. Schablontågets restid (dvs smärtgränsen för resenärerna) är sannolikt beroende av hur pass bra alternativ som finns tillgängligt. 
I många fall kan nog bussrestiden användas som en approximation för schablontågets restid, eftersom många nog skulle föredra buss före tåg ifall bussen vore snabbare. 
</t>
        </r>
        <r>
          <rPr>
            <b/>
            <sz val="8"/>
            <color indexed="81"/>
            <rFont val="Tahoma"/>
            <family val="2"/>
          </rPr>
          <t>Hur anges tidsförlusten?</t>
        </r>
        <r>
          <rPr>
            <sz val="8"/>
            <color indexed="81"/>
            <rFont val="Tahoma"/>
            <family val="2"/>
          </rPr>
          <t xml:space="preserve">
Här anges hur restiden förändras, mätt från viss ort på lågtrafikerad bana till ändpunkten på den lågtrafikerade banan (dvs till den ort resenären ville resa till eller den ort där resenären byter till annat tåg för fortsatt resa)</t>
        </r>
      </text>
    </comment>
    <comment ref="AC29" authorId="1" shapeId="0">
      <text>
        <r>
          <rPr>
            <b/>
            <sz val="9"/>
            <color indexed="81"/>
            <rFont val="Tahoma"/>
            <family val="2"/>
          </rPr>
          <t>Ahlenius Helen, PLet:</t>
        </r>
        <r>
          <rPr>
            <sz val="9"/>
            <color indexed="81"/>
            <rFont val="Tahoma"/>
            <family val="2"/>
          </rPr>
          <t xml:space="preserve">
I förra versionen användes privatresenärernas tidsvärden genomgående. Här har jag bytt till tjänstevärderingar. Korrekt?</t>
        </r>
      </text>
    </comment>
    <comment ref="H30" authorId="0" shapeId="0">
      <text>
        <r>
          <rPr>
            <b/>
            <sz val="8"/>
            <color indexed="81"/>
            <rFont val="Tahoma"/>
            <family val="2"/>
          </rPr>
          <t>sehb13334:</t>
        </r>
        <r>
          <rPr>
            <sz val="8"/>
            <color indexed="81"/>
            <rFont val="Tahoma"/>
            <family val="2"/>
          </rPr>
          <t xml:space="preserve">
Här anges vilken andel av resenärerna som skall resa förbi den första större orten (se figur till vänster) och som valt att åka buss till första större orten och för att därifrån åka vidare med tåg. 
Resenärerna kommer att åka buss till första större ort och därefter åka med tåg endast om antal tåg i UA sätts till 0. Dvs om persontrafiken läggs ner. Om tågUA inte är lika med 0 så beaktas inte värdet i denna cell.
Dessa resenärer finns även med i cellerna nedanför, där det beräknas hur mycket snabbare tåget är jämfört med bussen från de små orterna fram till den första större orten där trafiken är genomgående. Således skall andelarna för de olika orterna summera till 100 % och andel genomgående resor vara utöver 100 %.</t>
        </r>
      </text>
    </comment>
    <comment ref="J32" authorId="1" shapeId="0">
      <text>
        <r>
          <rPr>
            <b/>
            <sz val="9"/>
            <color indexed="81"/>
            <rFont val="Tahoma"/>
            <family val="2"/>
          </rPr>
          <t>Ahlenius Helen, PLet:</t>
        </r>
        <r>
          <rPr>
            <sz val="9"/>
            <color indexed="81"/>
            <rFont val="Tahoma"/>
            <family val="2"/>
          </rPr>
          <t xml:space="preserve">
Ja har tagit tider ur den grafiska tågtidtabellen och viktat med antal resor på varje sträcka
</t>
        </r>
      </text>
    </comment>
    <comment ref="M32" authorId="0" shapeId="0">
      <text>
        <r>
          <rPr>
            <b/>
            <sz val="8"/>
            <color indexed="81"/>
            <rFont val="Tahoma"/>
            <family val="2"/>
          </rPr>
          <t>Håkan:</t>
        </r>
        <r>
          <rPr>
            <sz val="8"/>
            <color indexed="81"/>
            <rFont val="Tahoma"/>
            <family val="2"/>
          </rPr>
          <t xml:space="preserve">
Denna cell är av särskild betydelse då en 0:a i denna ruta styr om det skall falla ut bytestidsförluster för genomgående resenärer (vid nedläggning av trafiken).</t>
        </r>
      </text>
    </comment>
    <comment ref="A78" authorId="0" shapeId="0">
      <text>
        <r>
          <rPr>
            <b/>
            <sz val="8"/>
            <color indexed="81"/>
            <rFont val="Tahoma"/>
            <family val="2"/>
          </rPr>
          <t>sehb13334:</t>
        </r>
        <r>
          <rPr>
            <sz val="8"/>
            <color indexed="81"/>
            <rFont val="Tahoma"/>
            <family val="2"/>
          </rPr>
          <t xml:space="preserve">
Denna uppgift räknas lämpligen fram genom att kolla vad månadskort och vad kontantpriset är för olika resrelationer. För månadskort kan det antas att resenären gör 40 resor i månaden. - ifall bättre uppgifter inte finns tillgängliga.</t>
        </r>
      </text>
    </comment>
  </commentList>
</comments>
</file>

<file path=xl/comments6.xml><?xml version="1.0" encoding="utf-8"?>
<comments xmlns="http://schemas.openxmlformats.org/spreadsheetml/2006/main">
  <authors>
    <author>Farelius, Johanna</author>
    <author>sehb13334</author>
    <author>Ahlenius Helen, PLet</author>
    <author>Ström Pär, PLee</author>
  </authors>
  <commentList>
    <comment ref="AE7" authorId="0" shapeId="0">
      <text/>
    </comment>
    <comment ref="C10" authorId="1" shapeId="0">
      <text>
        <r>
          <rPr>
            <b/>
            <sz val="8"/>
            <color indexed="81"/>
            <rFont val="Tahoma"/>
            <family val="2"/>
          </rPr>
          <t>Håkan:</t>
        </r>
        <r>
          <rPr>
            <sz val="8"/>
            <color indexed="81"/>
            <rFont val="Tahoma"/>
            <family val="2"/>
          </rPr>
          <t xml:space="preserve">
Ett tåg som går i visst omlopp avgår ett visst antal gånger per vecka. Olika flöden avgår dock olika många veckor per år. Summera antal avgångar (dvs antal omlopp) per år. I ett omlopp brukar det vara lika många vagnar i både riktningarna. 
Eftersom denna modell är tänkt att beräkna kr/nettoton så är det viktigt att beakta effektiviteten i tågtrafiken. Således är det inte möjligt att direkt summera antal vagnar per år (vilket skulle vara enklare) utan det är av betydelse om tågavgångarna sker med 5 eller 30 vagnar bakom dragkroken.</t>
        </r>
      </text>
    </comment>
    <comment ref="G10" authorId="1" shapeId="0">
      <text>
        <r>
          <rPr>
            <b/>
            <sz val="8"/>
            <color indexed="81"/>
            <rFont val="Tahoma"/>
            <family val="2"/>
          </rPr>
          <t>Helen:</t>
        </r>
        <r>
          <rPr>
            <sz val="8"/>
            <color indexed="81"/>
            <rFont val="Tahoma"/>
            <family val="2"/>
          </rPr>
          <t xml:space="preserve">
Sker det ett byte från diesellok till ellok under färdens gång? Eller sker lokbyte vid övergång från LTB till mer trafikerad bana?
Detta påverkar här godstidsvärdet och den tidsberoende tågdriftkostnaden. Lokbytestiden anges i projektspecifika värden</t>
        </r>
      </text>
    </comment>
    <comment ref="H10" authorId="1" shapeId="0">
      <text>
        <r>
          <rPr>
            <b/>
            <sz val="8"/>
            <color indexed="81"/>
            <rFont val="Tahoma"/>
            <family val="2"/>
          </rPr>
          <t>Håkan:</t>
        </r>
        <r>
          <rPr>
            <sz val="8"/>
            <color indexed="81"/>
            <rFont val="Tahoma"/>
            <family val="2"/>
          </rPr>
          <t xml:space="preserve">
Avser hela vägen från start till mål (exklusive tid för ev. lokrundgång, som hanteras i kolumn G).</t>
        </r>
      </text>
    </comment>
    <comment ref="J10" authorId="1" shapeId="0">
      <text>
        <r>
          <rPr>
            <b/>
            <sz val="8"/>
            <color indexed="81"/>
            <rFont val="Tahoma"/>
            <family val="2"/>
          </rPr>
          <t>Håkan:</t>
        </r>
        <r>
          <rPr>
            <sz val="8"/>
            <color indexed="81"/>
            <rFont val="Tahoma"/>
            <family val="2"/>
          </rPr>
          <t xml:space="preserve">
Det tar tid att lasta/lossa tåg och lastbilar. Det tar dock längre tid när tågbyggnadsprocessen även skall räknas med. En del tåg skall dessutom passera en rangerbangård. Här skall det anges den extra tidsåtgång som går åt i samband med lastnin/lossning/tågbyggande/rangering jämfört med den tid det tar om volymerna hanteras med lastbil.
De värden som skrivs in här är egentligen bara av betydelse i samband med nedläggning av godstrafiken på järnväg (via jämförelsen kr/nettotonkm/timme för järnväg och lastbil), men det blir inte fel att ange denna extratid även vid reducerat vidmakthållande. I det senare fallet finns kostnaden med (för järnväg) både i JA och UA, vilket gör att effekten "försvinner".
Den extra tidsåtgång som anges här påverkar två saker: 1) Varuvärdet (tidskostnad), och 2)  Den tidsberoende operativa tågkostnaden. Vad gäller kostnaden kan följande anmärkning göras: Under tågbyggnad och rangering så är vagnkapitalet uppbundet, dock inte loket och lokföraren. Men å andra sidan finns det vanligtvis ett växellok inblandat + växlingspersonal. Här görs det förenklande antagandet att dessa saker tar ut varandra. I en cell nedanför denna tabell (D45) finns det möjlighet att skriva in hur många personer extra som är knutna till tågbyggandet. Denna cell (D45) är kopplad till just denna kolumn (extra tidåtgång), så om bedömningen är att tågbyggnadsprocessen är mer personalkrävande kan extra lönekostnader tillföras.</t>
        </r>
      </text>
    </comment>
    <comment ref="M10" authorId="1" shapeId="0">
      <text>
        <r>
          <rPr>
            <b/>
            <sz val="8"/>
            <color indexed="81"/>
            <rFont val="Tahoma"/>
            <family val="2"/>
          </rPr>
          <t xml:space="preserve">Helen:
</t>
        </r>
        <r>
          <rPr>
            <sz val="8"/>
            <color indexed="81"/>
            <rFont val="Tahoma"/>
            <family val="2"/>
          </rPr>
          <t xml:space="preserve">Antal omlastningar som tillkommer i UA pga byte från väg till järnväg
Beräknas av kostnaden av omlastning i kr/ton torr bulk * antal ton som går. Det innebär att för en lastbil med 28 ton last blir kostnaden 280 kr med ASEK 6 (kr kr/ton * 28). </t>
        </r>
      </text>
    </comment>
    <comment ref="Z10" authorId="1" shapeId="0">
      <text>
        <r>
          <rPr>
            <b/>
            <sz val="8"/>
            <color indexed="81"/>
            <rFont val="Tahoma"/>
            <family val="2"/>
          </rPr>
          <t>Håkan:</t>
        </r>
        <r>
          <rPr>
            <sz val="8"/>
            <color indexed="81"/>
            <rFont val="Tahoma"/>
            <family val="2"/>
          </rPr>
          <t xml:space="preserve">
Lasten måste summera till 100 %.</t>
        </r>
      </text>
    </comment>
    <comment ref="AC10" authorId="1" shapeId="0">
      <text>
        <r>
          <rPr>
            <b/>
            <sz val="8"/>
            <color indexed="81"/>
            <rFont val="Tahoma"/>
            <family val="2"/>
          </rPr>
          <t>Håkan:</t>
        </r>
        <r>
          <rPr>
            <sz val="8"/>
            <color indexed="81"/>
            <rFont val="Tahoma"/>
            <family val="2"/>
          </rPr>
          <t xml:space="preserve">
Tomandelen påverkar transportkostnaden via den högre kostnad per vagnkm som uppkommer när vagnen är lastad. Således är tomandelen viktrelaterad och det som skall anges här är avvikelsen mellan maximal vikt (tillåten stax * antal axlar per vagn) och den faktiska vikten (vagnens taravikt + antal nettoton som lastats på vagnen). Taravikt = vagnvikten utan last. Detta innebär i sin tur att en vagn som är proppful,l sett till volym, men där lasten har en låg densitet och därmed inte väger så mycket ändå kan få en hög tomandel.
</t>
        </r>
      </text>
    </comment>
    <comment ref="AE10" authorId="1" shapeId="0">
      <text>
        <r>
          <rPr>
            <b/>
            <sz val="8"/>
            <color indexed="81"/>
            <rFont val="Tahoma"/>
            <family val="2"/>
          </rPr>
          <t>Håkan:</t>
        </r>
        <r>
          <rPr>
            <sz val="8"/>
            <color indexed="81"/>
            <rFont val="Tahoma"/>
            <family val="2"/>
          </rPr>
          <t xml:space="preserve">
Det gör en el och en diesel beräkning. Därefter viktas dessa ihop utifrån andelen el-km och diesel-km)</t>
        </r>
      </text>
    </comment>
    <comment ref="AF10" authorId="1" shapeId="0">
      <text>
        <r>
          <rPr>
            <b/>
            <sz val="8"/>
            <color indexed="81"/>
            <rFont val="Tahoma"/>
            <family val="2"/>
          </rPr>
          <t>Håkan:</t>
        </r>
        <r>
          <rPr>
            <sz val="8"/>
            <color indexed="81"/>
            <rFont val="Tahoma"/>
            <family val="2"/>
          </rPr>
          <t xml:space="preserve">
El och diesel har samma kostnadsfuntion.</t>
        </r>
      </text>
    </comment>
    <comment ref="AH10" authorId="1" shapeId="0">
      <text>
        <r>
          <rPr>
            <b/>
            <sz val="8"/>
            <color indexed="81"/>
            <rFont val="Tahoma"/>
            <family val="2"/>
          </rPr>
          <t>sehb13334:</t>
        </r>
        <r>
          <rPr>
            <sz val="8"/>
            <color indexed="81"/>
            <rFont val="Tahoma"/>
            <family val="2"/>
          </rPr>
          <t xml:space="preserve">
</t>
        </r>
      </text>
    </comment>
    <comment ref="AV10" authorId="2" shapeId="0">
      <text>
        <r>
          <rPr>
            <b/>
            <sz val="9"/>
            <color indexed="81"/>
            <rFont val="Tahoma"/>
            <family val="2"/>
          </rPr>
          <t>Ahlenius Helen, PLet:</t>
        </r>
        <r>
          <rPr>
            <sz val="9"/>
            <color indexed="81"/>
            <rFont val="Tahoma"/>
            <family val="2"/>
          </rPr>
          <t xml:space="preserve">
Om transporten går på järnväg, sätts kostnaderna i UA till järnvägskostnaderna.
</t>
        </r>
      </text>
    </comment>
    <comment ref="I11" authorId="1" shapeId="0">
      <text>
        <r>
          <rPr>
            <b/>
            <sz val="8"/>
            <color indexed="81"/>
            <rFont val="Tahoma"/>
            <family val="2"/>
          </rPr>
          <t>Håkan:</t>
        </r>
        <r>
          <rPr>
            <sz val="8"/>
            <color indexed="81"/>
            <rFont val="Tahoma"/>
            <family val="2"/>
          </rPr>
          <t xml:space="preserve">
Transportkostnaden beror av stax och stvm (</t>
        </r>
        <r>
          <rPr>
            <b/>
            <sz val="8"/>
            <color indexed="81"/>
            <rFont val="Tahoma"/>
            <family val="2"/>
          </rPr>
          <t>s</t>
        </r>
        <r>
          <rPr>
            <sz val="8"/>
            <color indexed="81"/>
            <rFont val="Tahoma"/>
            <family val="2"/>
          </rPr>
          <t xml:space="preserve">törta </t>
        </r>
        <r>
          <rPr>
            <b/>
            <sz val="8"/>
            <color indexed="81"/>
            <rFont val="Tahoma"/>
            <family val="2"/>
          </rPr>
          <t>t</t>
        </r>
        <r>
          <rPr>
            <sz val="8"/>
            <color indexed="81"/>
            <rFont val="Tahoma"/>
            <family val="2"/>
          </rPr>
          <t xml:space="preserve">illåtna </t>
        </r>
        <r>
          <rPr>
            <b/>
            <sz val="8"/>
            <color indexed="81"/>
            <rFont val="Tahoma"/>
            <family val="2"/>
          </rPr>
          <t>ax</t>
        </r>
        <r>
          <rPr>
            <sz val="8"/>
            <color indexed="81"/>
            <rFont val="Tahoma"/>
            <family val="2"/>
          </rPr>
          <t xml:space="preserve">ellast och </t>
        </r>
        <r>
          <rPr>
            <b/>
            <sz val="8"/>
            <color indexed="81"/>
            <rFont val="Tahoma"/>
            <family val="2"/>
          </rPr>
          <t>v</t>
        </r>
        <r>
          <rPr>
            <sz val="8"/>
            <color indexed="81"/>
            <rFont val="Tahoma"/>
            <family val="2"/>
          </rPr>
          <t xml:space="preserve">ikt per </t>
        </r>
        <r>
          <rPr>
            <b/>
            <sz val="8"/>
            <color indexed="81"/>
            <rFont val="Tahoma"/>
            <family val="2"/>
          </rPr>
          <t>m</t>
        </r>
        <r>
          <rPr>
            <sz val="8"/>
            <color indexed="81"/>
            <rFont val="Tahoma"/>
            <family val="2"/>
          </rPr>
          <t xml:space="preserve">eter) på så sätt att behovet av antal vagnar ökar när man inte kan lasta lika mycket i varje vagn.
Hur en förändring av stax slår beror i sin tur av vad det är för typ av varor som transporteras. Om allt gods har låg densitet så påverkar stax inte kostnaden alls. Därför behöver förändringen av stax och/eller stvm beräknas från fall till fall. Den modell som finns här kan användas som en räknesnurra, men beräkningen av med hur många % transportkostnaden förändras vid aktuell förändring av stax/stvm måste beräknas vid sidan av. Den framräknade procentsatsen kan sedan anges i denna kolumn. </t>
        </r>
      </text>
    </comment>
    <comment ref="AD11" authorId="2" shapeId="0">
      <text>
        <r>
          <rPr>
            <b/>
            <sz val="9"/>
            <color indexed="81"/>
            <rFont val="Tahoma"/>
            <family val="2"/>
          </rPr>
          <t>Ahlenius Helen, PLet:</t>
        </r>
        <r>
          <rPr>
            <sz val="9"/>
            <color indexed="81"/>
            <rFont val="Tahoma"/>
            <family val="2"/>
          </rPr>
          <t xml:space="preserve">
Stordriftsfördelar ska ses som att man kopplar på vgnar till ett längre tåg i vissa relationer med loägre kostnader som följd. Beräknigen är gjord på ASEK:s gensomnittståg och andelen vagnar i LTB-tåget av ASEK:s genomsnittståg används för att beräkna LTB-tågets kostnadsandel. Om LTB-tåget har fler vagnar än gensomnittståget blir kosnaden högre, och då bör 0 anges i AD. Antal vagnbar i ASEK 6 är 23.</t>
        </r>
      </text>
    </comment>
    <comment ref="AE11" authorId="2" shapeId="0">
      <text>
        <r>
          <rPr>
            <b/>
            <sz val="9"/>
            <color indexed="81"/>
            <rFont val="Tahoma"/>
            <family val="2"/>
          </rPr>
          <t>Ahlenius Helen, PLet:</t>
        </r>
        <r>
          <rPr>
            <sz val="9"/>
            <color indexed="81"/>
            <rFont val="Tahoma"/>
            <family val="2"/>
          </rPr>
          <t xml:space="preserve">
Farelius, Johanna:
Påverkar kalkylen på följande sätt: Vid eldrift (förenklat = stambana) viktas lokkostnaden ned (kr/tågkm * X% samt kr/tågmin*X%). T ex ett tågset med 3 vagnar som antas kopplas upp mot ett större godståg så att det på elsträckan i genomsnitt är en del av ett tåg med 30 vagnar skulle här ges en viktningsfaktor med 10%</t>
        </r>
      </text>
    </comment>
    <comment ref="AK12" authorId="1" shapeId="0">
      <text>
        <r>
          <rPr>
            <b/>
            <sz val="8"/>
            <color indexed="81"/>
            <rFont val="Tahoma"/>
            <family val="2"/>
          </rPr>
          <t>Håkan:</t>
        </r>
        <r>
          <rPr>
            <sz val="8"/>
            <color indexed="81"/>
            <rFont val="Tahoma"/>
            <family val="2"/>
          </rPr>
          <t xml:space="preserve">
(Ntonkm totalt * olyckskostnad) + (Ntonkm för den sträcka som går med dieseltåg * dieselkostnad )</t>
        </r>
      </text>
    </comment>
    <comment ref="AN12" authorId="1" shapeId="0">
      <text>
        <r>
          <rPr>
            <b/>
            <sz val="8"/>
            <color indexed="81"/>
            <rFont val="Tahoma"/>
            <family val="2"/>
          </rPr>
          <t>Håkan:</t>
        </r>
        <r>
          <rPr>
            <sz val="8"/>
            <color indexed="81"/>
            <rFont val="Tahoma"/>
            <family val="2"/>
          </rPr>
          <t xml:space="preserve">
(Ntonkm/nton per lastbil) * kr/fdkm</t>
        </r>
      </text>
    </comment>
    <comment ref="B57" authorId="1" shapeId="0">
      <text>
        <r>
          <rPr>
            <b/>
            <sz val="8"/>
            <color indexed="81"/>
            <rFont val="Tahoma"/>
            <family val="2"/>
          </rPr>
          <t>Håkan:</t>
        </r>
        <r>
          <rPr>
            <sz val="8"/>
            <color indexed="81"/>
            <rFont val="Tahoma"/>
            <family val="2"/>
          </rPr>
          <t xml:space="preserve">
(Värdet av GK, om tåg är billigare än lastbil, annars 0). Detta eftersom vi noterar att godstransportköparna valt att använda järnvägen trots att dom kunde ha valt vägtransporter istället.</t>
        </r>
      </text>
    </comment>
    <comment ref="E57" authorId="3" shapeId="0">
      <text>
        <r>
          <rPr>
            <b/>
            <sz val="9"/>
            <color indexed="81"/>
            <rFont val="Tahoma"/>
            <charset val="1"/>
          </rPr>
          <t>Ström Pär, PLee:</t>
        </r>
        <r>
          <rPr>
            <sz val="9"/>
            <color indexed="81"/>
            <rFont val="Tahoma"/>
            <charset val="1"/>
          </rPr>
          <t xml:space="preserve">
Problem som Håkan Berell formulerade när modllen togs fram. Låter det stå kavr men har inte grävt vidare i det nu.</t>
        </r>
      </text>
    </comment>
  </commentList>
</comments>
</file>

<file path=xl/comments7.xml><?xml version="1.0" encoding="utf-8"?>
<comments xmlns="http://schemas.openxmlformats.org/spreadsheetml/2006/main">
  <authors>
    <author>sehb13334</author>
  </authors>
  <commentList>
    <comment ref="D23" authorId="0" shapeId="0">
      <text>
        <r>
          <rPr>
            <b/>
            <sz val="8"/>
            <color indexed="81"/>
            <rFont val="Tahoma"/>
            <family val="2"/>
          </rPr>
          <t>Håkan:</t>
        </r>
        <r>
          <rPr>
            <sz val="8"/>
            <color indexed="81"/>
            <rFont val="Tahoma"/>
            <family val="2"/>
          </rPr>
          <t xml:space="preserve">
Ett tåg som går i visst omlopp avgår ett visst antal gånger per vecka. Olika flöden avgår dock olika många veckor per år. Summera antal avgångar (dvs antal omlopp) per år. I ett omlopp brukar det vara lika många vagnar i både riktningarna. 
Eftersom denna modell är tänkt att beräkna kr/nettoton så är det viktigt att beakta effektiviteten i tågtrafiken. Således är det inte möjligt att direkt summera antal vagnar per år (vilket skulle vara enklare) utan det är av betydelse om tågavgångarna sker med 5 eller 30 vagnar bakom dragkroken.</t>
        </r>
      </text>
    </comment>
    <comment ref="G23" authorId="0" shapeId="0">
      <text>
        <r>
          <rPr>
            <b/>
            <sz val="8"/>
            <color indexed="81"/>
            <rFont val="Tahoma"/>
            <family val="2"/>
          </rPr>
          <t>Håkan:</t>
        </r>
        <r>
          <rPr>
            <sz val="8"/>
            <color indexed="81"/>
            <rFont val="Tahoma"/>
            <family val="2"/>
          </rPr>
          <t xml:space="preserve">
Sker det ett byte från diesellok till ellok under färdens gång?
Detta påverkar här godstidsvärdet och den tidsberoende tågdriftkostnaden.</t>
        </r>
      </text>
    </comment>
    <comment ref="H23" authorId="0" shapeId="0">
      <text>
        <r>
          <rPr>
            <b/>
            <sz val="8"/>
            <color indexed="81"/>
            <rFont val="Tahoma"/>
            <family val="2"/>
          </rPr>
          <t>Håkan:</t>
        </r>
        <r>
          <rPr>
            <sz val="8"/>
            <color indexed="81"/>
            <rFont val="Tahoma"/>
            <family val="2"/>
          </rPr>
          <t xml:space="preserve">
Avser hela vägen från start till mål (exklusive tid för ev. lokrundgång, som hanteras i kolumn G).</t>
        </r>
      </text>
    </comment>
    <comment ref="K23" authorId="0" shapeId="0">
      <text>
        <r>
          <rPr>
            <b/>
            <sz val="8"/>
            <color indexed="81"/>
            <rFont val="Tahoma"/>
            <family val="2"/>
          </rPr>
          <t>Håkan:</t>
        </r>
        <r>
          <rPr>
            <sz val="8"/>
            <color indexed="81"/>
            <rFont val="Tahoma"/>
            <family val="2"/>
          </rPr>
          <t xml:space="preserve">
Transportkostnaden beror av stax och stvm (</t>
        </r>
        <r>
          <rPr>
            <b/>
            <sz val="8"/>
            <color indexed="81"/>
            <rFont val="Tahoma"/>
            <family val="2"/>
          </rPr>
          <t>s</t>
        </r>
        <r>
          <rPr>
            <sz val="8"/>
            <color indexed="81"/>
            <rFont val="Tahoma"/>
            <family val="2"/>
          </rPr>
          <t xml:space="preserve">törta </t>
        </r>
        <r>
          <rPr>
            <b/>
            <sz val="8"/>
            <color indexed="81"/>
            <rFont val="Tahoma"/>
            <family val="2"/>
          </rPr>
          <t>t</t>
        </r>
        <r>
          <rPr>
            <sz val="8"/>
            <color indexed="81"/>
            <rFont val="Tahoma"/>
            <family val="2"/>
          </rPr>
          <t xml:space="preserve">illåtna </t>
        </r>
        <r>
          <rPr>
            <b/>
            <sz val="8"/>
            <color indexed="81"/>
            <rFont val="Tahoma"/>
            <family val="2"/>
          </rPr>
          <t>ax</t>
        </r>
        <r>
          <rPr>
            <sz val="8"/>
            <color indexed="81"/>
            <rFont val="Tahoma"/>
            <family val="2"/>
          </rPr>
          <t xml:space="preserve">ellast och </t>
        </r>
        <r>
          <rPr>
            <b/>
            <sz val="8"/>
            <color indexed="81"/>
            <rFont val="Tahoma"/>
            <family val="2"/>
          </rPr>
          <t>v</t>
        </r>
        <r>
          <rPr>
            <sz val="8"/>
            <color indexed="81"/>
            <rFont val="Tahoma"/>
            <family val="2"/>
          </rPr>
          <t xml:space="preserve">ikt per </t>
        </r>
        <r>
          <rPr>
            <b/>
            <sz val="8"/>
            <color indexed="81"/>
            <rFont val="Tahoma"/>
            <family val="2"/>
          </rPr>
          <t>m</t>
        </r>
        <r>
          <rPr>
            <sz val="8"/>
            <color indexed="81"/>
            <rFont val="Tahoma"/>
            <family val="2"/>
          </rPr>
          <t xml:space="preserve">eter) på så sätt att behovet av antal vagnar ökar när man inte kan lasta lika mycket i varje vagn.
Hur en förändring av stax slår beror i sin tur av vad det är för typ av varor som transporteras. Om allt gods har låg densitet så påverkar stax inte kostnaden alls. Därför behöver förändringen av stax och/eller stvm beräknas från fall till fall. Den modell som finns här kan användas som en räknesnurra, men beräkningen av med hur många % transportkostnaden förändras vid aktuell förändring av stax/stvm måste beräknas vid sidan av. Den framräknade procentsatsen kan sedan anges i denna kolumn. </t>
        </r>
      </text>
    </comment>
    <comment ref="L23" authorId="0" shapeId="0">
      <text>
        <r>
          <rPr>
            <b/>
            <sz val="8"/>
            <color indexed="81"/>
            <rFont val="Tahoma"/>
            <family val="2"/>
          </rPr>
          <t>Håkan:</t>
        </r>
        <r>
          <rPr>
            <sz val="8"/>
            <color indexed="81"/>
            <rFont val="Tahoma"/>
            <family val="2"/>
          </rPr>
          <t xml:space="preserve">
Det tar tid att lasta/lossa tåg och lastbilar. Det tar dock längre tid när tågbyggnadsprocessen även skall räknas med. En del tåg skall dessutom passera en rangerbangård. Här skall det anges den extra tidsåtgång som går åt i samband med lastnin/lossning/tågbyggande/rangering jämfört med den tid det tar om volymerna hanteras med lastbil.
De värden som skrivs in här är egentligen bara av betydelse i samband med nedläggning av godstrafiken på järnväg (via jämförelsen kr/nettotonkm/timme för järnväg och lastbil), men det blir inte fel att ange denna extratid även vid reducerat vidmakthållande. I det senare fallet finns kostnaden med (för järnväg) både i JA och UA, vilket gör att effekten "försvinner".
Den extra tidsåtgång som anges här påverkar två saker: 1) Varuvärdet (tidskostnad), och 2)  Den tidsberoende operativa tågkostnaden. Vad gäller kostnaden kan följande anmärkning göras: Under tågbyggnad och rangering så är vagnkapitalet uppbundet, dock inte loket och lokföraren. Men å andra sidan finns det vanligtvis ett växellok inblandat + växlingspersonal. Här görs det förenklande antagandet att dessa saker tar ut varandra. I en cell nedanför denna tabell (D45) finns det möjlighet att skriva in hur många personer extra som är knutna till tågbyggandet. Denna cell (D45) är kopplad till just denna kolumn (extra tidåtgång), så om bedömningen är att tågbyggnadsprocessen är mer personalkrävande kan extra lönekostnader tillföras.</t>
        </r>
      </text>
    </comment>
    <comment ref="M23" authorId="0" shapeId="0">
      <text>
        <r>
          <rPr>
            <b/>
            <sz val="8"/>
            <color indexed="81"/>
            <rFont val="Tahoma"/>
            <family val="2"/>
          </rPr>
          <t>Håkan:</t>
        </r>
        <r>
          <rPr>
            <sz val="8"/>
            <color indexed="81"/>
            <rFont val="Tahoma"/>
            <family val="2"/>
          </rPr>
          <t xml:space="preserve">
Antal extra omlastningar vid järnvägstransport, jämfört med lastbil.</t>
        </r>
      </text>
    </comment>
    <comment ref="D42" authorId="0" shapeId="0">
      <text>
        <r>
          <rPr>
            <b/>
            <sz val="8"/>
            <color indexed="81"/>
            <rFont val="Tahoma"/>
            <family val="2"/>
          </rPr>
          <t>Håkan:</t>
        </r>
        <r>
          <rPr>
            <sz val="8"/>
            <color indexed="81"/>
            <rFont val="Tahoma"/>
            <family val="2"/>
          </rPr>
          <t xml:space="preserve">
Ett tåg som går i visst omlopp avgår ett visst antal gånger per vecka. Olika flöden avgår dock olika många veckor per år. Summera antal avgångar (dvs antal omlopp) per år. I ett omlopp brukar det vara lika många vagnar i både riktningarna. 
Eftersom denna modell är tänkt att beräkna kr/nettoton så är det viktigt att beakta effektiviteten i tågtrafiken. Således är det inte möjligt att direkt summera antal vagnar per år (vilket skulle vara enklare) utan det är av betydelse om tågavgångarna sker med 5 eller 30 vagnar bakom dragkroken.</t>
        </r>
      </text>
    </comment>
    <comment ref="G42" authorId="0" shapeId="0">
      <text>
        <r>
          <rPr>
            <b/>
            <sz val="8"/>
            <color indexed="81"/>
            <rFont val="Tahoma"/>
            <family val="2"/>
          </rPr>
          <t>Håkan:</t>
        </r>
        <r>
          <rPr>
            <sz val="8"/>
            <color indexed="81"/>
            <rFont val="Tahoma"/>
            <family val="2"/>
          </rPr>
          <t xml:space="preserve">
Sker det ett byte från diesellok till ellok under färdens gång?
Detta påverkar här godstidsvärdet och den tidsberoende tågdriftkostnaden.</t>
        </r>
      </text>
    </comment>
    <comment ref="H42" authorId="0" shapeId="0">
      <text>
        <r>
          <rPr>
            <b/>
            <sz val="8"/>
            <color indexed="81"/>
            <rFont val="Tahoma"/>
            <family val="2"/>
          </rPr>
          <t>Håkan:</t>
        </r>
        <r>
          <rPr>
            <sz val="8"/>
            <color indexed="81"/>
            <rFont val="Tahoma"/>
            <family val="2"/>
          </rPr>
          <t xml:space="preserve">
Avser hela vägen från start till mål (exklusive tid för ev. lokrundgång, som hanteras i kolumn G).</t>
        </r>
      </text>
    </comment>
    <comment ref="K42" authorId="0" shapeId="0">
      <text>
        <r>
          <rPr>
            <b/>
            <sz val="8"/>
            <color indexed="81"/>
            <rFont val="Tahoma"/>
            <family val="2"/>
          </rPr>
          <t>Håkan:</t>
        </r>
        <r>
          <rPr>
            <sz val="8"/>
            <color indexed="81"/>
            <rFont val="Tahoma"/>
            <family val="2"/>
          </rPr>
          <t xml:space="preserve">
Transportkostnaden beror av stax och stvm (</t>
        </r>
        <r>
          <rPr>
            <b/>
            <sz val="8"/>
            <color indexed="81"/>
            <rFont val="Tahoma"/>
            <family val="2"/>
          </rPr>
          <t>s</t>
        </r>
        <r>
          <rPr>
            <sz val="8"/>
            <color indexed="81"/>
            <rFont val="Tahoma"/>
            <family val="2"/>
          </rPr>
          <t xml:space="preserve">törta </t>
        </r>
        <r>
          <rPr>
            <b/>
            <sz val="8"/>
            <color indexed="81"/>
            <rFont val="Tahoma"/>
            <family val="2"/>
          </rPr>
          <t>t</t>
        </r>
        <r>
          <rPr>
            <sz val="8"/>
            <color indexed="81"/>
            <rFont val="Tahoma"/>
            <family val="2"/>
          </rPr>
          <t xml:space="preserve">illåtna </t>
        </r>
        <r>
          <rPr>
            <b/>
            <sz val="8"/>
            <color indexed="81"/>
            <rFont val="Tahoma"/>
            <family val="2"/>
          </rPr>
          <t>ax</t>
        </r>
        <r>
          <rPr>
            <sz val="8"/>
            <color indexed="81"/>
            <rFont val="Tahoma"/>
            <family val="2"/>
          </rPr>
          <t xml:space="preserve">ellast och </t>
        </r>
        <r>
          <rPr>
            <b/>
            <sz val="8"/>
            <color indexed="81"/>
            <rFont val="Tahoma"/>
            <family val="2"/>
          </rPr>
          <t>v</t>
        </r>
        <r>
          <rPr>
            <sz val="8"/>
            <color indexed="81"/>
            <rFont val="Tahoma"/>
            <family val="2"/>
          </rPr>
          <t xml:space="preserve">ikt per </t>
        </r>
        <r>
          <rPr>
            <b/>
            <sz val="8"/>
            <color indexed="81"/>
            <rFont val="Tahoma"/>
            <family val="2"/>
          </rPr>
          <t>m</t>
        </r>
        <r>
          <rPr>
            <sz val="8"/>
            <color indexed="81"/>
            <rFont val="Tahoma"/>
            <family val="2"/>
          </rPr>
          <t xml:space="preserve">eter) på så sätt att behovet av antal vagnar ökar när man inte kan lasta lika mycket i varje vagn.
Hur en förändring av stax slår beror i sin tur av vad det är för typ av varor som transporteras. Om allt gods har låg densitet så påverkar stax inte kostnaden alls. Därför behöver förändringen av stax och/eller stvm beräknas från fall till fall. Den modell som finns här kan användas som en räknesnurra, men beräkningen av med hur många % transportkostnaden förändras vid aktuell förändring av stax/stvm måste beräknas vid sidan av. Den framräknade procentsatsen kan sedan anges i denna kolumn. </t>
        </r>
      </text>
    </comment>
    <comment ref="L42" authorId="0" shapeId="0">
      <text>
        <r>
          <rPr>
            <b/>
            <sz val="8"/>
            <color indexed="81"/>
            <rFont val="Tahoma"/>
            <family val="2"/>
          </rPr>
          <t>Håkan:</t>
        </r>
        <r>
          <rPr>
            <sz val="8"/>
            <color indexed="81"/>
            <rFont val="Tahoma"/>
            <family val="2"/>
          </rPr>
          <t xml:space="preserve">
Det tar tid att lasta/lossa tåg och lastbilar. Det tar dock längre tid när tågbyggnadsprocessen även skall räknas med. En del tåg skall dessutom passera en rangerbangård. Här skall det anges den extra tidsåtgång som går åt i samband med lastnin/lossning/tågbyggande/rangering jämfört med den tid det tar om volymerna hanteras med lastbil.
De värden som skrivs in här är egentligen bara av betydelse i samband med nedläggning av godstrafiken på järnväg (via jämförelsen kr/nettotonkm/timme för järnväg och lastbil), men det blir inte fel att ange denna extratid även vid reducerat vidmakthållande. I det senare fallet finns kostnaden med (för järnväg) både i JA och UA, vilket gör att effekten "försvinner".
Den extra tidsåtgång som anges här påverkar två saker: 1) Varuvärdet (tidskostnad), och 2)  Den tidsberoende operativa tågkostnaden. Vad gäller kostnaden kan följande anmärkning göras: Under tågbyggnad och rangering så är vagnkapitalet uppbundet, dock inte loket och lokföraren. Men å andra sidan finns det vanligtvis ett växellok inblandat + växlingspersonal. Här görs det förenklande antagandet att dessa saker tar ut varandra. I en cell nedanför denna tabell (D45) finns det möjlighet att skriva in hur många personer extra som är knutna till tågbyggandet. Denna cell (D45) är kopplad till just denna kolumn (extra tidåtgång), så om bedömningen är att tågbyggnadsprocessen är mer personalkrävande kan extra lönekostnader tillföras.</t>
        </r>
      </text>
    </comment>
    <comment ref="M42" authorId="0" shapeId="0">
      <text>
        <r>
          <rPr>
            <b/>
            <sz val="8"/>
            <color indexed="81"/>
            <rFont val="Tahoma"/>
            <family val="2"/>
          </rPr>
          <t>Håkan:</t>
        </r>
        <r>
          <rPr>
            <sz val="8"/>
            <color indexed="81"/>
            <rFont val="Tahoma"/>
            <family val="2"/>
          </rPr>
          <t xml:space="preserve">
Antal extra omlastningar vid järnvägstransport, jämfört med lastbil.</t>
        </r>
      </text>
    </comment>
  </commentList>
</comments>
</file>

<file path=xl/sharedStrings.xml><?xml version="1.0" encoding="utf-8"?>
<sst xmlns="http://schemas.openxmlformats.org/spreadsheetml/2006/main" count="2528" uniqueCount="947">
  <si>
    <t>Kalkylränta</t>
  </si>
  <si>
    <t>%</t>
  </si>
  <si>
    <t>OK</t>
  </si>
  <si>
    <t>Restids-</t>
  </si>
  <si>
    <t>Turtäthets-</t>
  </si>
  <si>
    <t>elasticitet</t>
  </si>
  <si>
    <t>Andel långäga privatresor</t>
  </si>
  <si>
    <t>Reslängd</t>
  </si>
  <si>
    <t>km</t>
  </si>
  <si>
    <t>Regionala resor</t>
  </si>
  <si>
    <t>Nationella resor &gt; 10 mil</t>
  </si>
  <si>
    <t>Andel långväga tjänsteresor</t>
  </si>
  <si>
    <t>tjänste</t>
  </si>
  <si>
    <t>restidselasticitet</t>
  </si>
  <si>
    <t>&lt; 10 mil</t>
  </si>
  <si>
    <t>Andel kortväga privatresor</t>
  </si>
  <si>
    <t>privat</t>
  </si>
  <si>
    <t>&lt;---------------------</t>
  </si>
  <si>
    <t>K</t>
  </si>
  <si>
    <t>B1</t>
  </si>
  <si>
    <t>B2</t>
  </si>
  <si>
    <t>B3</t>
  </si>
  <si>
    <t>Andel kortväga tjänsteresor</t>
  </si>
  <si>
    <t>Tjänste</t>
  </si>
  <si>
    <t>Privat</t>
  </si>
  <si>
    <t>Kollektiva arbetsresornas andel av det kollektiva regionala resandet:</t>
  </si>
  <si>
    <t>Kortsiktiga värden</t>
  </si>
  <si>
    <t>Kronor/timme</t>
  </si>
  <si>
    <t>Regionala</t>
  </si>
  <si>
    <t>Långväga</t>
  </si>
  <si>
    <t>PRIVATA RESOR</t>
  </si>
  <si>
    <t>Arbete</t>
  </si>
  <si>
    <t>Övrigt</t>
  </si>
  <si>
    <t>resor</t>
  </si>
  <si>
    <t>Åktid</t>
  </si>
  <si>
    <t>y = värdet av 1 minuts förändring av tiden mellan avgångarna</t>
  </si>
  <si>
    <t>Turintervall</t>
  </si>
  <si>
    <t>x = antal minuter mellan avgångarna</t>
  </si>
  <si>
    <t>&lt; 10 minuter</t>
  </si>
  <si>
    <t>11-30 minuter</t>
  </si>
  <si>
    <t>Samband enligt linjär funktion:</t>
  </si>
  <si>
    <t>31-60 minuter</t>
  </si>
  <si>
    <t>regionala resor, privat</t>
  </si>
  <si>
    <t xml:space="preserve"> --&gt;</t>
  </si>
  <si>
    <t>61-120 minuter</t>
  </si>
  <si>
    <t>långväga resor, privat</t>
  </si>
  <si>
    <t>120 - 480 minuter</t>
  </si>
  <si>
    <t>regionala resor, tjänste</t>
  </si>
  <si>
    <t>120 - 480 min</t>
  </si>
  <si>
    <t>&gt; 480 minuter</t>
  </si>
  <si>
    <t>långväga resor, tjänste</t>
  </si>
  <si>
    <t xml:space="preserve"> &gt; 480 min</t>
  </si>
  <si>
    <t>Bytestid</t>
  </si>
  <si>
    <t>Alla fm utom flyg</t>
  </si>
  <si>
    <t>Flyg</t>
  </si>
  <si>
    <t>TJÄNTERESOR</t>
  </si>
  <si>
    <t>Bil</t>
  </si>
  <si>
    <t>Långväga tågresor</t>
  </si>
  <si>
    <t>Regionala tågresor</t>
  </si>
  <si>
    <t>Buss</t>
  </si>
  <si>
    <t>&lt; 60 minuter</t>
  </si>
  <si>
    <t>&gt; 120 minuter</t>
  </si>
  <si>
    <t>Persontrafik (VÄG)</t>
  </si>
  <si>
    <t>Vägtrafik, totala externa effekter</t>
  </si>
  <si>
    <t>Fordonstyp</t>
  </si>
  <si>
    <t>Lokalisering</t>
  </si>
  <si>
    <t>Summa externa effekter</t>
  </si>
  <si>
    <t>Skatt</t>
  </si>
  <si>
    <t>Skatt-externa effekter</t>
  </si>
  <si>
    <t>kr/fkm</t>
  </si>
  <si>
    <t>Personbil</t>
  </si>
  <si>
    <t>Persontrafik (JÄRNVÄG)</t>
  </si>
  <si>
    <t>Tågtyp</t>
  </si>
  <si>
    <t>Min platser</t>
  </si>
  <si>
    <t>Beläggninggrad</t>
  </si>
  <si>
    <t>Operativa kostnader (exkl skf 1)</t>
  </si>
  <si>
    <t>Olyckskostnad kr per tågkm</t>
  </si>
  <si>
    <t>Kostnad minsta tåg</t>
  </si>
  <si>
    <t>Kostnad extra plats</t>
  </si>
  <si>
    <t>Kr/tågkm</t>
  </si>
  <si>
    <t>Minsta tåg</t>
  </si>
  <si>
    <t>Marginalkostnad</t>
  </si>
  <si>
    <t>kr/tågkm</t>
  </si>
  <si>
    <t>kr/tågminut</t>
  </si>
  <si>
    <t>kr/platskm</t>
  </si>
  <si>
    <t>kr/platsminut</t>
  </si>
  <si>
    <t>Snabbtåg</t>
  </si>
  <si>
    <t>lastbil m släp</t>
  </si>
  <si>
    <t>Interregio</t>
  </si>
  <si>
    <t>Pendeltåg</t>
  </si>
  <si>
    <t>Pendeltåg stortstad</t>
  </si>
  <si>
    <t>Pendel storstad</t>
  </si>
  <si>
    <t>Dieseltåg</t>
  </si>
  <si>
    <t>Nattåg</t>
  </si>
  <si>
    <t>Höghastighetståg</t>
  </si>
  <si>
    <t>Snabba reg tåg</t>
  </si>
  <si>
    <t>Snabba reg.tåg</t>
  </si>
  <si>
    <t>Källa: Bansek 4.1 140221</t>
  </si>
  <si>
    <t>Persontrafik</t>
  </si>
  <si>
    <t>Andel av EE som räknas upp:</t>
  </si>
  <si>
    <t>Busskostnad</t>
  </si>
  <si>
    <t>brutto</t>
  </si>
  <si>
    <t>kr/km</t>
  </si>
  <si>
    <t>kr/min</t>
  </si>
  <si>
    <t>kr/fdkm</t>
  </si>
  <si>
    <t>CO2</t>
  </si>
  <si>
    <t>Totalt</t>
  </si>
  <si>
    <t>Långväga buss</t>
  </si>
  <si>
    <t>Buss, med slitagekomponent</t>
  </si>
  <si>
    <t>Beläggningsgrad personbil</t>
  </si>
  <si>
    <t>personer per bil</t>
  </si>
  <si>
    <t>Godstrafik</t>
  </si>
  <si>
    <t>Enhet</t>
  </si>
  <si>
    <t>Sammanvägt</t>
  </si>
  <si>
    <t>Buss, snitt utan slitagekomponent</t>
  </si>
  <si>
    <t>Personer/bil</t>
  </si>
  <si>
    <t>Operativa kostnader för godståg, inkl skf 1</t>
  </si>
  <si>
    <t xml:space="preserve"> </t>
  </si>
  <si>
    <t>Diesel</t>
  </si>
  <si>
    <t>Transporttyp</t>
  </si>
  <si>
    <t>Eldrift , kr/nettoton</t>
  </si>
  <si>
    <t>Dieseldrift, kr/nettoton</t>
  </si>
  <si>
    <t>Transportkostnadselasticitet</t>
  </si>
  <si>
    <t>timme</t>
  </si>
  <si>
    <t>vagnslast fjärr</t>
  </si>
  <si>
    <t>Nedläggning (UA 2)</t>
  </si>
  <si>
    <t>vagnslast lokal</t>
  </si>
  <si>
    <t>Godstrafik (JÄRNVÄG)</t>
  </si>
  <si>
    <t>vagnslast gnmsnitt</t>
  </si>
  <si>
    <t>systemtåg</t>
  </si>
  <si>
    <t>Används inte längre i LTB-modellen</t>
  </si>
  <si>
    <t>Systemtåg stax 25</t>
  </si>
  <si>
    <t>Olyckskostnader godstrafik</t>
  </si>
  <si>
    <t>Slitagekostnader godstrafik</t>
  </si>
  <si>
    <t>Malm stax 25</t>
  </si>
  <si>
    <t>El/diesel</t>
  </si>
  <si>
    <t>Reducerat vidmakthållande (UA 1)</t>
  </si>
  <si>
    <t>Kr/nettotonkm</t>
  </si>
  <si>
    <t>nton/tåg</t>
  </si>
  <si>
    <t>Malm stax 30</t>
  </si>
  <si>
    <t>Lastbil m släp, med slitagekomponent</t>
  </si>
  <si>
    <t>Vagnslast fjärr</t>
  </si>
  <si>
    <t>Kombi</t>
  </si>
  <si>
    <t>Vagnslast lokal</t>
  </si>
  <si>
    <t>Lastbil m släp, utan slitagekomponent</t>
  </si>
  <si>
    <t>Vagnlast gnms</t>
  </si>
  <si>
    <t>Vagnvikter</t>
  </si>
  <si>
    <t>Systemtåg</t>
  </si>
  <si>
    <t>Tågtrafik, slitage</t>
  </si>
  <si>
    <t>Tomvikt</t>
  </si>
  <si>
    <t>bruttovikt</t>
  </si>
  <si>
    <t>kr/ntonkm</t>
  </si>
  <si>
    <t>Lok</t>
  </si>
  <si>
    <t>Tågtrafik, bara olyckor</t>
  </si>
  <si>
    <t>2-axlig</t>
  </si>
  <si>
    <t>4-axlig</t>
  </si>
  <si>
    <t>Dieseltåg, emissioner (inkl CO2)</t>
  </si>
  <si>
    <t>Luftföroreningar och klimatgaser godstrafik</t>
  </si>
  <si>
    <t>Jordbruk</t>
  </si>
  <si>
    <t>Rundvirke</t>
  </si>
  <si>
    <t>Livsmedel</t>
  </si>
  <si>
    <t>Stål</t>
  </si>
  <si>
    <t>Avståndsberoende kostnadsfunktion</t>
  </si>
  <si>
    <t>Papper och massa</t>
  </si>
  <si>
    <t>Kr/tågkm = kr/lokkm (el/diesel) + antal 2-axliga vagnar * (a1*(1-tomandel)+a2*tomandel) + antal 4-axliga vagnar * (a3*(1-tomandel)+a4*tomandel)</t>
  </si>
  <si>
    <t>Kemikalier</t>
  </si>
  <si>
    <t>Tidsberoende kostnadsfunktion</t>
  </si>
  <si>
    <t>Kr/tågmin = kr/loktimme + antal 2-axliga vagnar * b1+ antal 4axliga vagnar * b2</t>
  </si>
  <si>
    <t>Personalkostnader, järnväg</t>
  </si>
  <si>
    <t>Eldrift</t>
  </si>
  <si>
    <t>Dieseldrift</t>
  </si>
  <si>
    <t>Kostnadsslag</t>
  </si>
  <si>
    <t>Kostnad</t>
  </si>
  <si>
    <t>kr/lokkm</t>
  </si>
  <si>
    <t>Tågklarerare, kr/år</t>
  </si>
  <si>
    <t>2-axliga</t>
  </si>
  <si>
    <t>a1</t>
  </si>
  <si>
    <t>Bangårdspersonal</t>
  </si>
  <si>
    <t>tomma 2-axliga</t>
  </si>
  <si>
    <t>a2</t>
  </si>
  <si>
    <t>Bangårdspersonal, arbetstimmar per år:</t>
  </si>
  <si>
    <t>h/år</t>
  </si>
  <si>
    <t>4-axliga</t>
  </si>
  <si>
    <t>a3</t>
  </si>
  <si>
    <t>Bangårdspersonal, kronor per timme</t>
  </si>
  <si>
    <t>kr/timme</t>
  </si>
  <si>
    <t>tomma 4-axliga</t>
  </si>
  <si>
    <t>a4</t>
  </si>
  <si>
    <t>kr/lokminut</t>
  </si>
  <si>
    <t>b1</t>
  </si>
  <si>
    <t>b2</t>
  </si>
  <si>
    <t>Avståndsberoende kostnad med lastbil:</t>
  </si>
  <si>
    <t>kr/tonkm</t>
  </si>
  <si>
    <t xml:space="preserve"> = uv1</t>
  </si>
  <si>
    <t>Tidsberoende kostnad med lastbil:</t>
  </si>
  <si>
    <t>kr/tontim</t>
  </si>
  <si>
    <t xml:space="preserve"> = uv2</t>
  </si>
  <si>
    <t>Tåg</t>
  </si>
  <si>
    <t>Lastbil</t>
  </si>
  <si>
    <t>Skatter</t>
  </si>
  <si>
    <t>Övriga trävaror</t>
  </si>
  <si>
    <t>Råolja</t>
  </si>
  <si>
    <t>Oljeprodukter</t>
  </si>
  <si>
    <t>Järnmalm</t>
  </si>
  <si>
    <t>Jord, sten</t>
  </si>
  <si>
    <t>Färdiga produkter</t>
  </si>
  <si>
    <t>Järnväg (ange värden i mkr för respektive år)</t>
  </si>
  <si>
    <t>År</t>
  </si>
  <si>
    <t>JA DoU</t>
  </si>
  <si>
    <t>JA Reinvestering</t>
  </si>
  <si>
    <t>UA1 DoU</t>
  </si>
  <si>
    <t>UA1 Reinvestering</t>
  </si>
  <si>
    <t>UA2 DoU</t>
  </si>
  <si>
    <t>UA2 Reinvestering</t>
  </si>
  <si>
    <t>Väg (ange värden i mkr för respektive år)</t>
  </si>
  <si>
    <t>Ange antingen vad som kommer att spenderas på vägarna både i JA och UA (dvs nivåerna), eller så kan du här ange skillnaden direkt, dvs: om effekten av ökad lastbilstrafik förväntas bli att vägkostnaderna i UA2 ökar med 1,2 mkr/år, så ange detta i cellerna för UA 2 (och rör då inte cellerna för JA).</t>
  </si>
  <si>
    <t>Finns det tågklarerare på sträckan?</t>
  </si>
  <si>
    <t>Antal tågklarerartjänster</t>
  </si>
  <si>
    <t>årstjänster</t>
  </si>
  <si>
    <t xml:space="preserve">Kommentar: Om banan läggs ner försvinner hela kostnaden för tågklarerare (= ange totalt antal tågklarerartjänster i denna ruta). </t>
  </si>
  <si>
    <t>Antal tågklarerare i UA 1 antas vara oförändrat!</t>
  </si>
  <si>
    <t>UA2, tågklarerare frigörs</t>
  </si>
  <si>
    <t>mkr/år</t>
  </si>
  <si>
    <t>Här tas nuvärdessummor fram med hjälp av olika tillväxttal</t>
  </si>
  <si>
    <t>Kalkylperiod (år)</t>
  </si>
  <si>
    <t>PERSONTRAFIK</t>
  </si>
  <si>
    <t>GODSTRAFIK</t>
  </si>
  <si>
    <t>Byggtid (år)</t>
  </si>
  <si>
    <t>Trafiktillväxt per år</t>
  </si>
  <si>
    <t>Kalkylränta (%)</t>
  </si>
  <si>
    <t>Skattefaktor 1</t>
  </si>
  <si>
    <t>Årlig tillväxttakt pga tillväxt i real BNP (+ koldioxid, men av andra orsaker…)</t>
  </si>
  <si>
    <t>Skattefaktor 2</t>
  </si>
  <si>
    <t>Om effektberäkning gjorts för nuläget:</t>
  </si>
  <si>
    <t>Årtal</t>
  </si>
  <si>
    <t>Annuitet</t>
  </si>
  <si>
    <t>Nuvärdesfaktor (NV)</t>
  </si>
  <si>
    <t>Trafiktillväxt (person)</t>
  </si>
  <si>
    <t>NV+Trafiktillväxt</t>
  </si>
  <si>
    <t>Beräkningsserie1 (effekter)</t>
  </si>
  <si>
    <t>Beräkningsserie2 (byggkostnader)</t>
  </si>
  <si>
    <t>Infrastrukturkostnader</t>
  </si>
  <si>
    <t>NUS årliga effekter</t>
  </si>
  <si>
    <t>NUS årliga infrakostnader</t>
  </si>
  <si>
    <t>NV anläggningskostnader</t>
  </si>
  <si>
    <t>Trafiktillväxt (P+real BNP)</t>
  </si>
  <si>
    <t>NV+uppräkn. t. lång sikt</t>
  </si>
  <si>
    <t>Trafiktillväxt (gods)</t>
  </si>
  <si>
    <t>Trafiktillväxt (G+real BNP)</t>
  </si>
  <si>
    <t>Årlig tillväxttakt pga tillväxt i real BNP</t>
  </si>
  <si>
    <t>Kostnad för tågklarerare</t>
  </si>
  <si>
    <t>Ackumulerat</t>
  </si>
  <si>
    <t>Kostnadsskillnader</t>
  </si>
  <si>
    <t>Inbesparingen i UA 1 eller UA 2 inom järnvägsområdet minus kostnadsökningen i UA 1 eller UA 2 inom vägområdet.</t>
  </si>
  <si>
    <t>UA1 (jfr JA)</t>
  </si>
  <si>
    <t>UA2 (jfr JA)</t>
  </si>
  <si>
    <t>Avräkning av restvärdet (järnväg)</t>
  </si>
  <si>
    <t>Järnvägens ekonomiska livslängd förutsätts vara 40 år. Reinvesterade komponenters tekniska livslängd förutstätts vara 30 år. Om det vid kalkylperiodens slut återstår livslängd så avräknas restvärdet.</t>
  </si>
  <si>
    <t>JA</t>
  </si>
  <si>
    <t>UA1</t>
  </si>
  <si>
    <t>UA2</t>
  </si>
  <si>
    <t>Kostnadsskillnad i nuvärden</t>
  </si>
  <si>
    <t>Här visas den diskonterade nettonyttan av förändrade DoU och reinvesteringsinsatser på väg och järnväg.</t>
  </si>
  <si>
    <t>Diskontering</t>
  </si>
  <si>
    <t>Ackumulerade kostnadsskillnader (mkr/år)</t>
  </si>
  <si>
    <t>Dessa värden länkas in i resultatdiagrammet!</t>
  </si>
  <si>
    <t>UA2 inkl tågklarerare</t>
  </si>
  <si>
    <t>Nuvärdessummor</t>
  </si>
  <si>
    <t>Nedanstående värden är diskonterade nuvärden i mkr. Kalkylperiodens längd i år anges i grön cell under diskonteringsfliken.</t>
  </si>
  <si>
    <t>mkr</t>
  </si>
  <si>
    <t>Notera: Restvärdet är nu beroende av hur lång kalkylperiod som anges under diskonteringsfliken.</t>
  </si>
  <si>
    <t>Kollektiva arbetsresornas andel av det kollektiva regionala resandet</t>
  </si>
  <si>
    <t>UA1 - Godstrafikeffekter</t>
  </si>
  <si>
    <t>Transportkostnad för tåg i JA</t>
  </si>
  <si>
    <t>Transportkostnad i UA</t>
  </si>
  <si>
    <t>Transport- kostnader</t>
  </si>
  <si>
    <t>Varuvärde</t>
  </si>
  <si>
    <t>Externa effekter (kr/år)</t>
  </si>
  <si>
    <t>Transportrelation</t>
  </si>
  <si>
    <t>Avgångar per år</t>
  </si>
  <si>
    <t>Km i JA</t>
  </si>
  <si>
    <t>Lokbyte?</t>
  </si>
  <si>
    <t>Transport- tid i JA</t>
  </si>
  <si>
    <t>Transport- tid i UA</t>
  </si>
  <si>
    <t>Ändrad transport- kostnad</t>
  </si>
  <si>
    <t>Extra tidsåtgång för tågbyggande per omlopp</t>
  </si>
  <si>
    <t>Antal extra lyft eller omlastningar</t>
  </si>
  <si>
    <t>Varuslag %</t>
  </si>
  <si>
    <t>Varuslag    %</t>
  </si>
  <si>
    <t>Varuslag       %</t>
  </si>
  <si>
    <t>Test</t>
  </si>
  <si>
    <t>Antal vagnar per axeltyp</t>
  </si>
  <si>
    <t>Tomandel (i %), avser båda riktningarna</t>
  </si>
  <si>
    <t>Transporttids förlängning</t>
  </si>
  <si>
    <t>Kr/tågmin</t>
  </si>
  <si>
    <t>Transport- kostnad i JA</t>
  </si>
  <si>
    <t>Transport- kostnad i UA</t>
  </si>
  <si>
    <t>Kr/ntonkm</t>
  </si>
  <si>
    <t>Kr/ntontim</t>
  </si>
  <si>
    <t>Förändrad godsvolym (järnväg)</t>
  </si>
  <si>
    <t>Konsument- överskott (kr/år)</t>
  </si>
  <si>
    <t>Summa KÖ (kr/år)</t>
  </si>
  <si>
    <t>Slitage järnväg</t>
  </si>
  <si>
    <t>Olyckor järnväg</t>
  </si>
  <si>
    <t>Emissioner, CO2, Slitage, Olyckor Lbs</t>
  </si>
  <si>
    <t>Skriv in aktuella relationer…</t>
  </si>
  <si>
    <t>Nej = 0, Ja = 1</t>
  </si>
  <si>
    <t>Timmar (exkl lokrundgång)</t>
  </si>
  <si>
    <t>pga ändrad stax eller stvm (%)</t>
  </si>
  <si>
    <t>timmar</t>
  </si>
  <si>
    <t>Jämfört med lastbil</t>
  </si>
  <si>
    <t>2-xl</t>
  </si>
  <si>
    <t>4-xl</t>
  </si>
  <si>
    <t>Sammanvägning av två riktningar</t>
  </si>
  <si>
    <r>
      <rPr>
        <b/>
        <sz val="10"/>
        <color theme="1"/>
        <rFont val="Arial"/>
        <family val="2"/>
      </rPr>
      <t>Avstånds</t>
    </r>
    <r>
      <rPr>
        <sz val="11"/>
        <color theme="1"/>
        <rFont val="Calibri"/>
        <family val="2"/>
        <scheme val="minor"/>
      </rPr>
      <t>- beroende per tågomlopp</t>
    </r>
  </si>
  <si>
    <r>
      <rPr>
        <b/>
        <sz val="10"/>
        <color theme="1"/>
        <rFont val="Arial"/>
        <family val="2"/>
      </rPr>
      <t>Tids</t>
    </r>
    <r>
      <rPr>
        <sz val="11"/>
        <color theme="1"/>
        <rFont val="Calibri"/>
        <family val="2"/>
        <scheme val="minor"/>
      </rPr>
      <t>beroende per tågomlopp</t>
    </r>
  </si>
  <si>
    <t>per tågomlopp</t>
  </si>
  <si>
    <t>för hela årsvolymen</t>
  </si>
  <si>
    <t>UA</t>
  </si>
  <si>
    <t>JA-UA1</t>
  </si>
  <si>
    <t>nettoton per år</t>
  </si>
  <si>
    <t>Kvarvarande tidsberoende volym</t>
  </si>
  <si>
    <t>Kvarvarande totalt volym (kr/år)</t>
  </si>
  <si>
    <t>Tappade avstånds- beroende</t>
  </si>
  <si>
    <t>Tappade tidsberoende volym</t>
  </si>
  <si>
    <t>Tappad volym totalt (kr/år)</t>
  </si>
  <si>
    <t>Varuvärde kvarvarande (kr/år)</t>
  </si>
  <si>
    <t>Varuvärde tappade vol (kr/år)</t>
  </si>
  <si>
    <t>kr/år</t>
  </si>
  <si>
    <t>Från A till B</t>
  </si>
  <si>
    <t>min</t>
  </si>
  <si>
    <t>Kr/år</t>
  </si>
  <si>
    <t>Beräkning av konsumentöverskott</t>
  </si>
  <si>
    <t>Operativ kostnad</t>
  </si>
  <si>
    <t>Summa konsumentöverskott</t>
  </si>
  <si>
    <t>Externa effekter</t>
  </si>
  <si>
    <t>Järnväg (totalt)</t>
  </si>
  <si>
    <t>Järnväg emissioner (inkl CO2)</t>
  </si>
  <si>
    <t>Järnväg slitage</t>
  </si>
  <si>
    <t>Järnväg olyckor</t>
  </si>
  <si>
    <t>Väg (totalt)</t>
  </si>
  <si>
    <t>Väg Brutto</t>
  </si>
  <si>
    <t>Summa</t>
  </si>
  <si>
    <t>Övrig godstrafikeffekt</t>
  </si>
  <si>
    <t>Om det finns någon relevant effekt som inte passar in i modellen kan denna cell användas.</t>
  </si>
  <si>
    <t>Cellen kan också användas för känslighetsanalyser eller till att nolla en effekt som är med.</t>
  </si>
  <si>
    <t>Kommentar: Inte kopplad till trafiktillväxt nu. Kan länkas om till diskonteringsfliken.</t>
  </si>
  <si>
    <t>Diskonteringar</t>
  </si>
  <si>
    <t>Operativa kostnader</t>
  </si>
  <si>
    <t>Konsumenteffekt (mkr/år)</t>
  </si>
  <si>
    <t>Ackumulerad KÖ (mkr/år)</t>
  </si>
  <si>
    <t>Minskad godstågtrafik (brutto)</t>
  </si>
  <si>
    <t>G-tåg brutto*andel*(realBNP+trafiktillv.)</t>
  </si>
  <si>
    <t>G-tåg brutto*andel*trafiktillväxt</t>
  </si>
  <si>
    <t>real BNP-tillväxt (G-tåg)</t>
  </si>
  <si>
    <t>Ökad lastbilstrafik (brutto)</t>
  </si>
  <si>
    <t>Skatt (Lbs)</t>
  </si>
  <si>
    <t>Lbs brutto*andel*(realBNP+trafiktillv.)</t>
  </si>
  <si>
    <t>Lbs brutto*andel*trafiktillväxt</t>
  </si>
  <si>
    <t>real BNP-tillväxt (Lbs)</t>
  </si>
  <si>
    <t>Ack. Externa effekter (mkr/år)</t>
  </si>
  <si>
    <t>Övriga godstrafikeffekter (mkr/år)</t>
  </si>
  <si>
    <t>Ack. Övriga godseffekter (mkr/år)</t>
  </si>
  <si>
    <t>Ack. godstrafikeffekter (mkr/år)</t>
  </si>
  <si>
    <t>Konsumetöverskott</t>
  </si>
  <si>
    <t>Övriga effekter</t>
  </si>
  <si>
    <t>Övriga godseffekter</t>
  </si>
  <si>
    <t>Slitagekostnader, kr per tågkm uppdelad i fast och rörlig kostnad.</t>
  </si>
  <si>
    <t>Transportkostnadselasticitet väg/järnväg</t>
  </si>
  <si>
    <t>Förändrade emissioner järnväg</t>
  </si>
  <si>
    <t>kr</t>
  </si>
  <si>
    <t>ton</t>
  </si>
  <si>
    <t>Tidsåtgång för lokbyte</t>
  </si>
  <si>
    <t>minuter</t>
  </si>
  <si>
    <t>Antal personer som arbetar med lossning och lastning, utöver lokförare</t>
  </si>
  <si>
    <t>person</t>
  </si>
  <si>
    <t>Last, nettoton per lastbil</t>
  </si>
  <si>
    <t xml:space="preserve">Nedanstående värden är diskonterade nuvärden i mkr. </t>
  </si>
  <si>
    <t>Lägre ambitioner beträffande underhåll kan leda till:</t>
  </si>
  <si>
    <t xml:space="preserve"> - sänkt hastighet för tågen</t>
  </si>
  <si>
    <t xml:space="preserve"> - att tågutbudet minskar</t>
  </si>
  <si>
    <t>Färre tågresenärer ger fler bil- och bussresande</t>
  </si>
  <si>
    <t>De som åker buss och skall vidare förbi första större orten antas åka buss till järnvägsstation och där byta till tåg, med tidsförlust som följd</t>
  </si>
  <si>
    <t>Resandets omfattning och sammansättning</t>
  </si>
  <si>
    <t>Antal resor per år:</t>
  </si>
  <si>
    <t>i JA</t>
  </si>
  <si>
    <t>Schematisk skiss, där den smala llinjen symboliserar en lågtrafikerad bana</t>
  </si>
  <si>
    <t>och de grövre linjerna symboliserar mer trafikerade järnvägar med fler tåg.</t>
  </si>
  <si>
    <t>Sträcka med omfattande</t>
  </si>
  <si>
    <t>trafik som inte ifrågasätts</t>
  </si>
  <si>
    <t>Genomsnittlig bytestid buss-tåg (i UA)</t>
  </si>
  <si>
    <t>Används vid nedläggning av persontrafiken (antal tåg i UA = 0)</t>
  </si>
  <si>
    <t>Tidsvinster…………………………………………………………………………………………….</t>
  </si>
  <si>
    <t>Förändrad turtäthet………………………………………………………………………………..</t>
  </si>
  <si>
    <t>Ange positivt tal</t>
  </si>
  <si>
    <t>Utgångsläget…………………………………</t>
  </si>
  <si>
    <t>Utredningsalternativet………………………</t>
  </si>
  <si>
    <t>Enhet: Kronor per år…………………………</t>
  </si>
  <si>
    <t>Genomgående trafik, där en del fortsätter utan omstigning</t>
  </si>
  <si>
    <t>Antal resor som får förändrad tillgänglighet</t>
  </si>
  <si>
    <t>Effekt för de som fortsätter resa med tåg</t>
  </si>
  <si>
    <t>Effekter för de som slutade resa med tåg</t>
  </si>
  <si>
    <t>Andel resor som i UA får bytestid från buss till tåg (om tågUA = 0)</t>
  </si>
  <si>
    <t>Genomsnittlig restid (min) med tåg i JA</t>
  </si>
  <si>
    <r>
      <t xml:space="preserve">Restidsförlust pga </t>
    </r>
    <r>
      <rPr>
        <sz val="10"/>
        <color rgb="FFFF0000"/>
        <rFont val="Arial"/>
        <family val="2"/>
      </rPr>
      <t>långsammare tåg</t>
    </r>
    <r>
      <rPr>
        <sz val="11"/>
        <color theme="1"/>
        <rFont val="Calibri"/>
        <family val="2"/>
        <scheme val="minor"/>
      </rPr>
      <t xml:space="preserve"> vid försämring ELLER tidsförlust vid </t>
    </r>
    <r>
      <rPr>
        <sz val="10"/>
        <color rgb="FFFF0000"/>
        <rFont val="Arial"/>
        <family val="2"/>
      </rPr>
      <t>nedläggning</t>
    </r>
    <r>
      <rPr>
        <sz val="11"/>
        <color theme="1"/>
        <rFont val="Calibri"/>
        <family val="2"/>
        <scheme val="minor"/>
      </rPr>
      <t xml:space="preserve"> av tågtrafiken</t>
    </r>
  </si>
  <si>
    <t>Antal tåg per timme</t>
  </si>
  <si>
    <t>%-uell förändring tågrestid</t>
  </si>
  <si>
    <t>%-uell förändring turtäthet</t>
  </si>
  <si>
    <t>antal långväga privat</t>
  </si>
  <si>
    <t>antal långväga tjänste</t>
  </si>
  <si>
    <t>antal kortväga privat</t>
  </si>
  <si>
    <t>antal kortväga tjänte</t>
  </si>
  <si>
    <t>antal "tappade" långväga privat</t>
  </si>
  <si>
    <t>antal "tappade" långväga tjänste</t>
  </si>
  <si>
    <t>antal "tappade" kortväga privat</t>
  </si>
  <si>
    <t>antal "tappade" kortväga tjänste</t>
  </si>
  <si>
    <t xml:space="preserve">värde tidsvinst befintliga långväga privat </t>
  </si>
  <si>
    <t xml:space="preserve">värde tidsvinst befintliga långväga tjänste </t>
  </si>
  <si>
    <t xml:space="preserve">värde tidsvinst befintliga kortväga privat </t>
  </si>
  <si>
    <t xml:space="preserve">värde tidsvinst befintliga kortväga tjänte </t>
  </si>
  <si>
    <t xml:space="preserve">värde tidsvinst "tappade" långväga privat </t>
  </si>
  <si>
    <t xml:space="preserve">värde tidsvinst "tappade" långväga tjänste </t>
  </si>
  <si>
    <t xml:space="preserve">värde tidsvinst "tappade" kortväga privat </t>
  </si>
  <si>
    <t xml:space="preserve">värde tidsvinst "tappade" kortväga tjänte </t>
  </si>
  <si>
    <t>Minuter mellan avgångar JA</t>
  </si>
  <si>
    <t>Minuter mellan avgångar UA1</t>
  </si>
  <si>
    <t xml:space="preserve">värde turtäthet befintliga långväga privat </t>
  </si>
  <si>
    <t xml:space="preserve">värde turtäthet befintliga långväga tjänste </t>
  </si>
  <si>
    <t xml:space="preserve">värde turtäthet befintliga kortväga privat </t>
  </si>
  <si>
    <t xml:space="preserve">värde turtäthet befintliga kortväga tjänte </t>
  </si>
  <si>
    <t xml:space="preserve">värde turtäthet tappade långväga privat </t>
  </si>
  <si>
    <t xml:space="preserve">värde turtäthet tappade långväga tjänste </t>
  </si>
  <si>
    <t xml:space="preserve">värde turtäthet tappade kortväga privat </t>
  </si>
  <si>
    <t xml:space="preserve">värde turtäthet tappade kortväga tjänte </t>
  </si>
  <si>
    <r>
      <rPr>
        <b/>
        <sz val="11"/>
        <color theme="5" tint="-0.249977111117893"/>
        <rFont val="Arial"/>
        <family val="2"/>
      </rPr>
      <t xml:space="preserve">Tidsförlust för de genomgående resenärerna </t>
    </r>
    <r>
      <rPr>
        <sz val="11"/>
        <color theme="1"/>
        <rFont val="Calibri"/>
        <family val="2"/>
        <scheme val="minor"/>
      </rPr>
      <t>(som i JA inte behöver göra något byte, men som i UA byter från buss till tåg)</t>
    </r>
  </si>
  <si>
    <r>
      <t xml:space="preserve">Andel </t>
    </r>
    <r>
      <rPr>
        <i/>
        <sz val="10"/>
        <color theme="1"/>
        <rFont val="Arial"/>
        <family val="2"/>
      </rPr>
      <t>genomgående</t>
    </r>
    <r>
      <rPr>
        <sz val="11"/>
        <color theme="1"/>
        <rFont val="Calibri"/>
        <family val="2"/>
        <scheme val="minor"/>
      </rPr>
      <t xml:space="preserve"> resor:</t>
    </r>
  </si>
  <si>
    <t>Antal berörda</t>
  </si>
  <si>
    <t>resor/år</t>
  </si>
  <si>
    <t>Andel resor per målpunkt</t>
  </si>
  <si>
    <t>Ange negativt tal!</t>
  </si>
  <si>
    <t>Långväga privat</t>
  </si>
  <si>
    <t>Lågtrafikerad bana med få tåg</t>
  </si>
  <si>
    <t>Långväga tjänste</t>
  </si>
  <si>
    <t>Kortväga privat</t>
  </si>
  <si>
    <t>Stationsnamn 3</t>
  </si>
  <si>
    <t>Kortväga tjänste</t>
  </si>
  <si>
    <t>Stationsnamn 4</t>
  </si>
  <si>
    <t>Stationsnamn 5</t>
  </si>
  <si>
    <t>Tidsförlust pga extra byte</t>
  </si>
  <si>
    <t>Stationsnamn 6</t>
  </si>
  <si>
    <t>Stationsnamn 7</t>
  </si>
  <si>
    <t>Stationsnamn 8</t>
  </si>
  <si>
    <t>Stationsnamn 9</t>
  </si>
  <si>
    <t>Stationsnamn 10</t>
  </si>
  <si>
    <t>Stationsnamn 11</t>
  </si>
  <si>
    <t xml:space="preserve">Kommentar: Om det inte går några tåg i UA uppkommer bytestidsförluster vid byte buss-tåg, om det går tåg i UA antas det inte ske några </t>
  </si>
  <si>
    <t>Stationsnamn 12</t>
  </si>
  <si>
    <t>byten mellan buss-tåg.</t>
  </si>
  <si>
    <t>Stationsnamn 13</t>
  </si>
  <si>
    <t>Stationsnamn 14</t>
  </si>
  <si>
    <t>Kommentar: Om du behöver förlänga beräkningsområdet för att få plats med fler stationer så behöver anpassningar av formler ske på ett antal olika ställen.</t>
  </si>
  <si>
    <t xml:space="preserve">Kommentar: Ange namnet på den ort som resandeandelen avser. Ifall du inte har tillgång till resanderäkning som bryter ner resandet till ortsnivå, </t>
  </si>
  <si>
    <t>Förändring av antal resor:</t>
  </si>
  <si>
    <t>så kan du använda orternas storlek för att gissa varifrån/vart resenärerna skall åka.</t>
  </si>
  <si>
    <t>Kommentar: Beträffande andel resor anges 20 % som just 20, inte 0,2.</t>
  </si>
  <si>
    <t>Beräkning av producentöverskott</t>
  </si>
  <si>
    <t>Räknesnurra</t>
  </si>
  <si>
    <t>Turer/dag</t>
  </si>
  <si>
    <t>Km enkel väg</t>
  </si>
  <si>
    <t>Antal tågkm per år</t>
  </si>
  <si>
    <t>Min enkel väg</t>
  </si>
  <si>
    <t>Antal tågmin per år</t>
  </si>
  <si>
    <t>Dagar/år</t>
  </si>
  <si>
    <t>Antal busskm per år</t>
  </si>
  <si>
    <t>2 riktningar</t>
  </si>
  <si>
    <t>Antal bussmin per år</t>
  </si>
  <si>
    <t>Antal fdkm/år</t>
  </si>
  <si>
    <t>Antal fdmin/år</t>
  </si>
  <si>
    <t>Typ av tåg (Diesel = 0, IR = 1):</t>
  </si>
  <si>
    <t>0 om dieseltåg, 1 om regionaltåg</t>
  </si>
  <si>
    <t>Snitt km</t>
  </si>
  <si>
    <t>Viktat</t>
  </si>
  <si>
    <t>Tågkostnad (km)</t>
  </si>
  <si>
    <t>Tågkostnad (min)</t>
  </si>
  <si>
    <t>Buss (km)</t>
  </si>
  <si>
    <t>Buss (min)</t>
  </si>
  <si>
    <t>Biljettintäkter</t>
  </si>
  <si>
    <t>Kronor per resa</t>
  </si>
  <si>
    <t>Andel av de som slutar att resa med tåg som övergår till bil</t>
  </si>
  <si>
    <t>km per resa</t>
  </si>
  <si>
    <t>Kommentar: I denna modell flyttar resenärerna mellan tåg och bil/buss. Den totala resvolymen antas inte bli påverkad.</t>
  </si>
  <si>
    <t>Förändring av resor med järnväg per dygn i UA1</t>
  </si>
  <si>
    <t>Förlorade biljettintäkter i mkr/år</t>
  </si>
  <si>
    <t>Här ser vi endast till de resenärer som flyttar mellan tåg och bil. Fler bilresor ger mer externa effekter.</t>
  </si>
  <si>
    <t>Genomsnittlig hastighet för tågen</t>
  </si>
  <si>
    <t>km/h</t>
  </si>
  <si>
    <t>Externa effekter från ökad biltrafik</t>
  </si>
  <si>
    <t>Bruttokostnad</t>
  </si>
  <si>
    <t>Summa Pbil</t>
  </si>
  <si>
    <t>Externa effekter från ökad busstrafik</t>
  </si>
  <si>
    <t>Externa effekter från minskad tågtrafik</t>
  </si>
  <si>
    <t>Övrig persontrafikeffekt</t>
  </si>
  <si>
    <t>Kommentar om diskonteringarna: Effekter som beror av antal resor påverkas av trafiktillväxten (som anges under diskonteringsfliken). Dit räknas tidsvinster, biljettintäkter och externa effekter. Transportkostnaden beräknas dock inte bero på trafiktillväxten</t>
  </si>
  <si>
    <t>eftersom tågens storlek inte varierar med antal resor (dvs minsta tågstorlek antas vara tillräckligt stor för trafiken på de lågtrafikerade banorna). Ej heller antas det behövas mer än en buss per avgångstidpunkt.</t>
  </si>
  <si>
    <t>Konsumentöverskott (KÖ), mkr/år</t>
  </si>
  <si>
    <t>Restid</t>
  </si>
  <si>
    <t>Turtäthet</t>
  </si>
  <si>
    <t>Summa KÖ</t>
  </si>
  <si>
    <t>Ackumulerad KÖ</t>
  </si>
  <si>
    <t>Producentöverskott (PÖ), mkr/år</t>
  </si>
  <si>
    <t>Transportkostnad</t>
  </si>
  <si>
    <t>Summa PÖ</t>
  </si>
  <si>
    <t>Ackumulerad PÖ</t>
  </si>
  <si>
    <t>Externa effekter (ext.eff.), mkr/år</t>
  </si>
  <si>
    <t>Ökad biltrafik (brutto)</t>
  </si>
  <si>
    <t>Skatter (pb)</t>
  </si>
  <si>
    <t>Pb brutto*andel*(realBNP+trafiktillv.)</t>
  </si>
  <si>
    <t>Pb brutto*andel*trafiktillväxt</t>
  </si>
  <si>
    <t>real BNP-tillväxt (Pb)</t>
  </si>
  <si>
    <t>Netto Pb</t>
  </si>
  <si>
    <t>Ökad busstrafik (brutto)</t>
  </si>
  <si>
    <t>Buss brutto*andel*(realBNP+trafiktillv.)</t>
  </si>
  <si>
    <t>Buss brutto*andel*trafiktillväxt</t>
  </si>
  <si>
    <t>real BNP-tillväxt (Buss)</t>
  </si>
  <si>
    <t>P-tåg brutto*andel*(realBNP+trafiktillv.)</t>
  </si>
  <si>
    <t>P-tåg brutto*andel*trafiktillväxt</t>
  </si>
  <si>
    <t>real BNP-tillväxt P-tåg</t>
  </si>
  <si>
    <t>Ackumulerad ext.eff.</t>
  </si>
  <si>
    <t>Ack. övrig effekt</t>
  </si>
  <si>
    <t>Ack. persontrafikeffekter</t>
  </si>
  <si>
    <t>Konsumentöverskott</t>
  </si>
  <si>
    <t>Producenteffekter</t>
  </si>
  <si>
    <t>Ökad bil- och busstrafik</t>
  </si>
  <si>
    <t>Övriga persontrafikeffekter</t>
  </si>
  <si>
    <t>TOTALT</t>
  </si>
  <si>
    <t>UA1 Persontrafik - reducerat vidmakthållande</t>
  </si>
  <si>
    <t>procent</t>
  </si>
  <si>
    <t>UA2 = nedläggning</t>
  </si>
  <si>
    <t>Kan användas som hjälp för att ange fordonskm/fordonsmin</t>
  </si>
  <si>
    <t>I KÖ beaktas inte om fler turer med buss läggs till när restiden med tåg försämras. Det beaktas emellertid i producentöverskottet nedan.</t>
  </si>
  <si>
    <t>KÖ</t>
  </si>
  <si>
    <t>PÖ</t>
  </si>
  <si>
    <t>Beräknas som förändring av restid, baserat på tid varje resa tar och antal resor</t>
  </si>
  <si>
    <t>Kan hämtas från beräkningen i J80</t>
  </si>
  <si>
    <t>Ange själv</t>
  </si>
  <si>
    <t>Använder hastigheten som anges i A112</t>
  </si>
  <si>
    <t>Antal tågkm/busskm och tågmin/bussmin anges nedan. Dessa kan baseras på en snitthastighet på sträckan som anges</t>
  </si>
  <si>
    <t>nedan eller läggas in helt fritt.</t>
  </si>
  <si>
    <t>Buss och tåg tas upp via en matris där man fritt anger tåg/busskm, inte kopplat till beräkningarna i KÖ</t>
  </si>
  <si>
    <t xml:space="preserve">För bil används en procentsats som man anger för de som går till bil av de som tappas av resenärer </t>
  </si>
  <si>
    <t>Används till operativa kostnader</t>
  </si>
  <si>
    <t>Byteskostnader</t>
  </si>
  <si>
    <t>Infrakostnader JA-UA1</t>
  </si>
  <si>
    <t>Persontrafikeffekter UA1</t>
  </si>
  <si>
    <t>Godstrafikeffekter UA1</t>
  </si>
  <si>
    <t>Tolkning: Positiva värden = UA 1 bättre än JA, dvs bättre att reducera vidmakthållandet än att underhålla och reinvestera i enlighet med JA.</t>
  </si>
  <si>
    <t>Operativ kostnad (gods)</t>
  </si>
  <si>
    <t>Transportkostnad (person)</t>
  </si>
  <si>
    <t>Förändrad tågtrafik, externa effekter (brutto)</t>
  </si>
  <si>
    <t>Nedläggning leder till:</t>
  </si>
  <si>
    <t xml:space="preserve"> - allt tågresande upphör och resenärerna antas flyttas från tåg till antingen buss eller bil</t>
  </si>
  <si>
    <t xml:space="preserve"> - antal bussar kan komma att öka och producentöverskottet skall beräknas som skillnaden mellan reducerad tågkostnad och ökad busskostnad</t>
  </si>
  <si>
    <t>UA2 nedläggning av järnvägen</t>
  </si>
  <si>
    <t>I UA1 (ej nedläggning) antas att det inte uppkommer någon extra restid pga byteskostnader</t>
  </si>
  <si>
    <t>ska vara 0</t>
  </si>
  <si>
    <t>För genomgående resenärer beräknas en byteskostnad från buss till fortsatt tåg</t>
  </si>
  <si>
    <t>Kvarvarande avstånds- beroende, skillnad JA och UA</t>
  </si>
  <si>
    <t>Förändring av resor med järnväg per år i UA1</t>
  </si>
  <si>
    <t>ska vara &gt;0, annars UA2</t>
  </si>
  <si>
    <t>En eventuell ökad turtäthet för buss beaktas inte i KÖ, enbart i PÖ</t>
  </si>
  <si>
    <t>En nedläggning av banan ger upphov till:</t>
  </si>
  <si>
    <t>A) Hela godsvolymen flyttar från järnväg till väg. Detta ger i sin tur upphov till följande:</t>
  </si>
  <si>
    <t xml:space="preserve"> a) Transportkostnaden förändras, här jämförs kronor/tonkm och kronor/tonmin med järnväg (tas fram genom att beskriva tågen nedan) med motsvarande uppgifter för lastbilstransporter.</t>
  </si>
  <si>
    <t>Transportkostnader</t>
  </si>
  <si>
    <t xml:space="preserve"> b) Externa effekter från järnvägen minskar och ökar från vägtrafiken</t>
  </si>
  <si>
    <t>Nettoton i JA</t>
  </si>
  <si>
    <t>Kontroll</t>
  </si>
  <si>
    <t>externa effekter slitage JÄRNVÄG</t>
  </si>
  <si>
    <t>externa effekter olyckor JÄRNVÄG</t>
  </si>
  <si>
    <t>externa effekter emissioner (inkl CO2) JÄRNVÄG</t>
  </si>
  <si>
    <t>externa effekter (brutto inkl slitage) VÄG</t>
  </si>
  <si>
    <t>externa effekter (brutto exkl slitage) VÄG</t>
  </si>
  <si>
    <t>Ntonkm</t>
  </si>
  <si>
    <t>Ntontim</t>
  </si>
  <si>
    <t>Tågdrift- kostnad (JA)</t>
  </si>
  <si>
    <t>Varuvärde kostnad (järnväg)</t>
  </si>
  <si>
    <t>Nettoton per tågomlopp</t>
  </si>
  <si>
    <t>Jämförelse väg-jvg    (kr/år)</t>
  </si>
  <si>
    <t>Järnväg</t>
  </si>
  <si>
    <t>Tidskostnad, varuvärde</t>
  </si>
  <si>
    <t>Summa godstidsvärde</t>
  </si>
  <si>
    <t>Summa KÖ med restriktion</t>
  </si>
  <si>
    <t>Problem(?):</t>
  </si>
  <si>
    <t>När transportkostnaden med lastbil anges exklusive internaliserande skatter blir det lättare så att en överflyttning från järnväg till väg ger en lägre</t>
  </si>
  <si>
    <t>generaliserad kostnad. Här antar jag nu att godstransportköparen inte skulle ha valt järnväg ifall kostnaden för tåg är högre än för lastbil. Men i verkligheten</t>
  </si>
  <si>
    <t>så skulle transportköparen möta ett pris som inkluderar internaliserande skatter. Hur bör detta hanteras?</t>
  </si>
  <si>
    <t>Järnväg, Slitage</t>
  </si>
  <si>
    <t>Järnväg, Olyckor</t>
  </si>
  <si>
    <t>Järnväg, Emissioner</t>
  </si>
  <si>
    <t>Lastbil, brutto (inkl. slitage)</t>
  </si>
  <si>
    <t>Transport- kostnads- skillnad för hela årsvolymen av tågomlopp, samma antal i JA och UA</t>
  </si>
  <si>
    <t>Nettoton i JA, en riktning, per år</t>
  </si>
  <si>
    <r>
      <rPr>
        <b/>
        <sz val="8"/>
        <color theme="1"/>
        <rFont val="Arial"/>
        <family val="2"/>
      </rPr>
      <t>Avstånds</t>
    </r>
    <r>
      <rPr>
        <sz val="8"/>
        <color theme="1"/>
        <rFont val="Calibri"/>
        <family val="2"/>
        <scheme val="minor"/>
      </rPr>
      <t>- beroende per tågomlopp, ej hänsyn till kostnadsökningen</t>
    </r>
  </si>
  <si>
    <r>
      <rPr>
        <b/>
        <sz val="8"/>
        <color theme="1"/>
        <rFont val="Arial"/>
        <family val="2"/>
      </rPr>
      <t>Tids</t>
    </r>
    <r>
      <rPr>
        <sz val="8"/>
        <color theme="1"/>
        <rFont val="Calibri"/>
        <family val="2"/>
        <scheme val="minor"/>
      </rPr>
      <t>beroende per tågomlopp, ej hänsyn till kostnadsökningen, enbart tidsskillnaden</t>
    </r>
  </si>
  <si>
    <t>Kr/tågkm (eg är den nya kostnaden AC*AD)</t>
  </si>
  <si>
    <t>för hela årsvolymen, samma antal avgångar som i JA</t>
  </si>
  <si>
    <r>
      <rPr>
        <b/>
        <sz val="8"/>
        <color theme="1"/>
        <rFont val="Arial"/>
        <family val="2"/>
      </rPr>
      <t>Avstånds</t>
    </r>
    <r>
      <rPr>
        <sz val="8"/>
        <color theme="1"/>
        <rFont val="Calibri"/>
        <family val="2"/>
        <scheme val="minor"/>
      </rPr>
      <t>- beroende per tågomlopp, dvs AL * kostnadsökningen</t>
    </r>
  </si>
  <si>
    <r>
      <rPr>
        <b/>
        <sz val="8"/>
        <color theme="1"/>
        <rFont val="Arial"/>
        <family val="2"/>
      </rPr>
      <t>Tids</t>
    </r>
    <r>
      <rPr>
        <sz val="8"/>
        <color theme="1"/>
        <rFont val="Calibri"/>
        <family val="2"/>
        <scheme val="minor"/>
      </rPr>
      <t>beroende per tågomlopp, dvs AM * kostnadsökningen</t>
    </r>
  </si>
  <si>
    <t>Transportkostnadsökning = tidsberoende kostnader som andel av tot kostnader*tidförlängningen, per sträcka</t>
  </si>
  <si>
    <t>Operativ kostnad, skillnad UA och JA</t>
  </si>
  <si>
    <t>Summa förändrat konsumentöverskott</t>
  </si>
  <si>
    <t>De grå cellerna ska fyllas i (eller lämnas tomma)</t>
  </si>
  <si>
    <t>UA2 - Godstrafikeffekter bygger på indata samt förutsättningar i UA1-flikarna</t>
  </si>
  <si>
    <t>Genomsnittlig länkhastighet för lastbil</t>
  </si>
  <si>
    <t>Fyll i grå fält, övriga fält hämtas från UA1 och övriga flikar</t>
  </si>
  <si>
    <t>Externa effekter:</t>
  </si>
  <si>
    <t>A till B</t>
  </si>
  <si>
    <t>B till C</t>
  </si>
  <si>
    <t>Kostnad i JA</t>
  </si>
  <si>
    <t>Kostnad i UA</t>
  </si>
  <si>
    <t>JA - UA</t>
  </si>
  <si>
    <t>I den här filen anger du projektspecifika förutsättningar</t>
  </si>
  <si>
    <t>Förutsättningar för varje sträcka gods/person anger du under flikarna UA1 och UA2</t>
  </si>
  <si>
    <t>Genomgående trafik, där en del fortsätter utan omstigning (tas ej hänsyn till i UA1)</t>
  </si>
  <si>
    <t>punkt A</t>
  </si>
  <si>
    <t>punkt B</t>
  </si>
  <si>
    <t>punkt C</t>
  </si>
  <si>
    <t>När den lågtrafikerade banan läggs ned, finns det åtminstone två alternativ som bör utredas:</t>
  </si>
  <si>
    <t>a) godstransporterna flyttas till väg på den sträckan där banan läggs ned, lastas där om och transporteras övrig sträcka med järnväg</t>
  </si>
  <si>
    <t>b) godstransporterna går över till väg hela vägen till slutdestinationen, dvs. ingen omlastning till järnväg</t>
  </si>
  <si>
    <t>Nedan illustreras hur dessa två alternativ ska läggas in i modellen, flik UA2 gods</t>
  </si>
  <si>
    <t xml:space="preserve">A. </t>
  </si>
  <si>
    <t>godstransporterna flyttar till väg på den sträcka där banan läggs ned, lastas där om och transporteras med järnväg till slutdestinationen</t>
  </si>
  <si>
    <t>jämförelsealternativet</t>
  </si>
  <si>
    <t>gods på lågtrafikerad bana</t>
  </si>
  <si>
    <t>gods på mer trafikerad bana</t>
  </si>
  <si>
    <t>UA A</t>
  </si>
  <si>
    <t>gods på väg</t>
  </si>
  <si>
    <t>punkt B: omlastning</t>
  </si>
  <si>
    <t>utredningsalternativet (a)</t>
  </si>
  <si>
    <t>Km i UA</t>
  </si>
  <si>
    <t>50 km</t>
  </si>
  <si>
    <t>250 km</t>
  </si>
  <si>
    <t>70 km</t>
  </si>
  <si>
    <t>Distans i UA på lastbil, km (om transport på järnväg, ange 0)</t>
  </si>
  <si>
    <t>Ändrad stax eller stvm (%)</t>
  </si>
  <si>
    <t>Antal omlastningar i UA</t>
  </si>
  <si>
    <t>B.</t>
  </si>
  <si>
    <t>godstransporterna flyttar till väg ända till slutdestinationen</t>
  </si>
  <si>
    <t>utredningsalternativet (b)</t>
  </si>
  <si>
    <t>UA B</t>
  </si>
  <si>
    <t>200 km</t>
  </si>
  <si>
    <t>Lokbyte i JA</t>
  </si>
  <si>
    <t>Extra tidsåtgång för tågbyggande per omlopp i JA</t>
  </si>
  <si>
    <t>Nej = 0, Ja = 1 Kan vara ett vid lokbyte från diesel till el eller vid lokbyte i övergången från LTB till mer trafikerad bana</t>
  </si>
  <si>
    <t>Distans i UA, km,  lastbil. Om transporten går järnväg i UA på den här sträckan, ange 0</t>
  </si>
  <si>
    <t>Omlastningen används framför allt vid UA2, då godset färdas på väg på LTB och sedan lastas om till järnväg för fortsatt transport. Kostnaden ska återspegla omlastning från lastbil till tåg, inte det motsatta.</t>
  </si>
  <si>
    <t>omlastningar som  tillkommer i UA pga transport på väg, sätts till 1 om omlastningen sker efter den sträcka som raden rör</t>
  </si>
  <si>
    <t>Lb</t>
  </si>
  <si>
    <t>Om transport på järnväg på aktuell sträcka i UA, blir kostnaderna lika i JA och UA</t>
  </si>
  <si>
    <t>Kopplad till kostnad för extra lokbyten, t.ex. på banor där både diesel och el förekommer</t>
  </si>
  <si>
    <t>Kopplad till kostnad för extra tidsåtgång för rangering och tågbyggande längs vägen</t>
  </si>
  <si>
    <t>Används för att uppskatta tid i UA då LTB läggs ned</t>
  </si>
  <si>
    <t>Här anger du kostnaderna för DoU/reinvesteringar i JA och UA1. I UA2 är kostnaderna noll för järnväg eftersom banan läggs ned</t>
  </si>
  <si>
    <t>UA1 = minskat vidmakthållande</t>
  </si>
  <si>
    <t xml:space="preserve">I alternativ A kan en omlastningskostnad läggas till lastbilskostnaden. För sträcka B till C används samma värden som för samma sträcka i JA. </t>
  </si>
  <si>
    <t>Km i JA diesel</t>
  </si>
  <si>
    <t>Km i JA el</t>
  </si>
  <si>
    <t>Allmänna förutsättningar för projektet</t>
  </si>
  <si>
    <t>Nedanstående värden är diskonterade nuvärden i mkr</t>
  </si>
  <si>
    <t>JA-UA</t>
  </si>
  <si>
    <t>Infrakostnader JA-UA2</t>
  </si>
  <si>
    <t>Persontrafikeffekter UA2</t>
  </si>
  <si>
    <t>Godstrafikeffekter UA2</t>
  </si>
  <si>
    <t>Tolkning: Positiva värden = UA2 bättre än JA, dvs bättre att läga ned banan än att underhålla och reinvestera i enlighet med JA.</t>
  </si>
  <si>
    <t>Kostnad (UA)</t>
  </si>
  <si>
    <t>Transporttid i UA, timmar - fylls ej i</t>
  </si>
  <si>
    <t>För beräkning av transporttid används gensomnittshastigheten på länken (fliken projektspecifikt)</t>
  </si>
  <si>
    <t>Stordriftsfördelar, 0=nej, 1=ja</t>
  </si>
  <si>
    <t>Om det förekommer stordriftsfördelar på sträckan, används kostnader för ett genomsnittligt tåg ur ASEK</t>
  </si>
  <si>
    <t>Beräkning av tågkostnader då stordriftsfördelar förekommer</t>
  </si>
  <si>
    <t>Nettolast</t>
  </si>
  <si>
    <t>Antal 2-axl</t>
  </si>
  <si>
    <t>Antal 4-axl</t>
  </si>
  <si>
    <t>Andel tomvagn</t>
  </si>
  <si>
    <t>kr/tågkm diesel</t>
  </si>
  <si>
    <t>kr/tågkm el</t>
  </si>
  <si>
    <t>Kr/tågmin el</t>
  </si>
  <si>
    <t>Kr/tågmin diesel</t>
  </si>
  <si>
    <t>Varuvärde kostnad (UA)</t>
  </si>
  <si>
    <t>Om lasten hängs på ett längre tåg mellan B och C kan kostnaden för transporten bli lägre. Om värdet sätts till 1, används i stället kostnaden för ett genomsnittståg (antal vagnars andel av ett genomsnittståg).</t>
  </si>
  <si>
    <t>Tidsåtgång i UA</t>
  </si>
  <si>
    <t>Fylls ej i, här används gensomnittshastighet från fliken projektspecifikt</t>
  </si>
  <si>
    <t>Observera att endast transporten på lastbil fylls i här. Om transporten sker på järnväg, sätts distansen till 0.</t>
  </si>
  <si>
    <t>Transportkostnad för tåg i JA och UA, om transporten går på järnväg vissa sträckor</t>
  </si>
  <si>
    <t xml:space="preserve">Kalkylvärdena uppdateras när nya förutsättningar tas fram. </t>
  </si>
  <si>
    <t>Elasticiteter</t>
  </si>
  <si>
    <t>Beräkning av elasticiteter, där sådana saknas i ASEK</t>
  </si>
  <si>
    <t>De regionala restidsvärdena beräknas genom att vikta kortsiktiga värden</t>
  </si>
  <si>
    <t>för arbete/övrigt med andelen kollektiva regionala resandet ovan</t>
  </si>
  <si>
    <t>y=mx+b</t>
  </si>
  <si>
    <t>m</t>
  </si>
  <si>
    <t>b</t>
  </si>
  <si>
    <t>Turtäthetsfunktionen</t>
  </si>
  <si>
    <t>Restidsvärden och turtäthetsvärden</t>
  </si>
  <si>
    <t>Tåg- och busskostnader</t>
  </si>
  <si>
    <t>Specifika kostnadsfunktioner för beräkning av operativa kostnader för godståg</t>
  </si>
  <si>
    <t>Summa externa effekter exkl buller 2030 års effekter 2014 års värde, prisnivå 2014</t>
  </si>
  <si>
    <t>Godstidsvärden</t>
  </si>
  <si>
    <t>Allmänna värden</t>
  </si>
  <si>
    <t>Diskontering, värden hämtas från andra flikar - här ska du alltså inte ändra</t>
  </si>
  <si>
    <t xml:space="preserve">                                             Kalkylvärden  och andra modellvärden som inte ska ändras i enskilda körningar</t>
  </si>
  <si>
    <t>Använder hastigheten som anges i A94</t>
  </si>
  <si>
    <t>Används i räknesnurran</t>
  </si>
  <si>
    <t>Används i räknesnurran för att beräkna genomsnittslängd på sträckan</t>
  </si>
  <si>
    <t>Observera min kommentar!</t>
  </si>
  <si>
    <t>Operativa lastbilskostnader</t>
  </si>
  <si>
    <t>Person</t>
  </si>
  <si>
    <t>Gods</t>
  </si>
  <si>
    <t>Exkl skatt</t>
  </si>
  <si>
    <t>Exkl banavgifter</t>
  </si>
  <si>
    <t>Brutto</t>
  </si>
  <si>
    <t>Netto</t>
  </si>
  <si>
    <t>Budgeteffekter</t>
  </si>
  <si>
    <t>Ingen effekt</t>
  </si>
  <si>
    <t>Slitage</t>
  </si>
  <si>
    <t>kr/fordonskm</t>
  </si>
  <si>
    <t>Olyckor</t>
  </si>
  <si>
    <t>Omlastningskostnad, kr/ton</t>
  </si>
  <si>
    <t>Omlastningskostnader, Lastbilstrafik (Samgods), kr/ton, torr bulk</t>
  </si>
  <si>
    <t>Dokumentation kalkylvärden, LTB</t>
  </si>
  <si>
    <t>Externa effekter, lastbil (brutto)</t>
  </si>
  <si>
    <t>EE Godstrafik, väg</t>
  </si>
  <si>
    <t xml:space="preserve">EE Godstrafik, järnväg </t>
  </si>
  <si>
    <t>EE Persontrafik, väg</t>
  </si>
  <si>
    <t>Externa effekter, personbil</t>
  </si>
  <si>
    <t>Emissioner exkl CO2</t>
  </si>
  <si>
    <t>EE persontrafik järnväg</t>
  </si>
  <si>
    <t>Tidsvärden</t>
  </si>
  <si>
    <t>Luftföroreningar</t>
  </si>
  <si>
    <t>Reala värdet</t>
  </si>
  <si>
    <t>EE Busstrafik</t>
  </si>
  <si>
    <t>Summa emissioner inkl CO2</t>
  </si>
  <si>
    <t>2020-2030</t>
  </si>
  <si>
    <t>2031-2040</t>
  </si>
  <si>
    <t>2041-</t>
  </si>
  <si>
    <t>17,95 ton baseras på Samgods basprognos 2016-04-01 (totala tonkm för samtliga lastbilstyper)</t>
  </si>
  <si>
    <t>16 timmars trafikdygn</t>
  </si>
  <si>
    <t>Operativa kostnader lastbil med släp</t>
  </si>
  <si>
    <t>Summa delkostnader kr/nettotonkm</t>
  </si>
  <si>
    <t>Skattedel kr/nettotonkm</t>
  </si>
  <si>
    <t>Summa delkostnader kr/nettotontimme</t>
  </si>
  <si>
    <t>Skattedel kr/nettotontimme</t>
  </si>
  <si>
    <t>Beräkning av kostnader i ovanstående tabell enligt nedanstående:</t>
  </si>
  <si>
    <t>Medellastvikt Lastbil med släp [ton]</t>
  </si>
  <si>
    <t>Antagen medellastvikt 18 ton</t>
  </si>
  <si>
    <t>Se beräkningar i filen Beskrivn kalkylvrd</t>
  </si>
  <si>
    <t>Mönsterås - Blomstermåla</t>
  </si>
  <si>
    <t>Blomstermåla - Kalmar</t>
  </si>
  <si>
    <t>Hultsfred - Berga</t>
  </si>
  <si>
    <t>Endast i UA1 - i UA2 antas antalet bussturer vara detsamma som antalet tågturer</t>
  </si>
  <si>
    <t>Resan med buss tar 18 muniter längre tid på hela sträckan, dvs. 10 procent mer. Jag räknar alltså upp tågminuter med 2,5 och 10%.</t>
  </si>
  <si>
    <t>Cirka 65 personer åker på någon del av sträckan Linköping-Kalmar per avgång. Jag räknar med att det behöver gå 3 bussar för varje tågavgång.</t>
  </si>
  <si>
    <t>förändring</t>
  </si>
  <si>
    <t xml:space="preserve"> &lt; --- Här anges nu den reala kostnaden, exklusive skatter som skall kompensera de externa kostnaderna.</t>
  </si>
  <si>
    <t>Källa: BVH 706 (med korrigering för ett fel)</t>
  </si>
  <si>
    <t>Operativa kostnader, lastbil</t>
  </si>
  <si>
    <t>Avståndsberoende kostnad</t>
  </si>
  <si>
    <t>Tidsberoende kostnad</t>
  </si>
  <si>
    <t>2 ggr större</t>
  </si>
  <si>
    <t>15 procent lägre</t>
  </si>
  <si>
    <t>Relation 1</t>
  </si>
  <si>
    <t>Relation 2</t>
  </si>
  <si>
    <t>Tom Hedlund, WSP Sverige AB 2016-09-07</t>
  </si>
  <si>
    <t>ASEK 5</t>
  </si>
  <si>
    <t>Operativa kostnader lastbil med släp ASEK5 prisnivå 2010</t>
  </si>
  <si>
    <t>uv1 [kr/tonkm]</t>
  </si>
  <si>
    <t>Bränsle</t>
  </si>
  <si>
    <t>energiskatt+CO2-skatt</t>
  </si>
  <si>
    <t>moms p skatt</t>
  </si>
  <si>
    <t>prod pris</t>
  </si>
  <si>
    <t>prod pris moms</t>
  </si>
  <si>
    <t>kmskatt införd av Pär</t>
  </si>
  <si>
    <t>kmskatt kr/nettotonkm</t>
  </si>
  <si>
    <t>Övriga kostnader</t>
  </si>
  <si>
    <t>däck, service o repar</t>
  </si>
  <si>
    <t>moms övr kostn</t>
  </si>
  <si>
    <t>Summa delkostnader kr/nettonkm</t>
  </si>
  <si>
    <t>uv2 [kr/tontim]</t>
  </si>
  <si>
    <t>Kostnader</t>
  </si>
  <si>
    <t>Fordonsskatter</t>
  </si>
  <si>
    <t>Övr kostnader</t>
  </si>
  <si>
    <t>moms övr kostnader</t>
  </si>
  <si>
    <t>Summa delkostnader kr/nettontim</t>
  </si>
  <si>
    <t>Genomsnittsbil</t>
  </si>
  <si>
    <t>Maximallast</t>
  </si>
  <si>
    <t>LastbilMedSläp</t>
  </si>
  <si>
    <t>Driftstimmar</t>
  </si>
  <si>
    <t>Körsträcka</t>
  </si>
  <si>
    <t>Snittlast</t>
  </si>
  <si>
    <t>Medellastvikt</t>
  </si>
  <si>
    <t>Skattedel</t>
  </si>
  <si>
    <t>kr/nettonkm</t>
  </si>
  <si>
    <t>Räknar med HGV40 Tung lastbil med släp:</t>
  </si>
  <si>
    <t>Produktpris på diesel, exkl. drivmedelsskatter och moms, kr/liter (Samkalk)</t>
  </si>
  <si>
    <t>Kr/fordonskm (exkl moms)</t>
  </si>
  <si>
    <t>Momspåslag</t>
  </si>
  <si>
    <t>Kr/fordonskm (inkl ev moms)</t>
  </si>
  <si>
    <t xml:space="preserve">Drivmedelsskatter, exkl moms, kr/liter      </t>
  </si>
  <si>
    <t>Drivmedel (inkl drivmedelsskatter)</t>
  </si>
  <si>
    <t>Ja</t>
  </si>
  <si>
    <t>Andel drivmedelsskatt</t>
  </si>
  <si>
    <t>Service &amp; reparationer</t>
  </si>
  <si>
    <t>Däck</t>
  </si>
  <si>
    <t>Avståndberoende Värdeminskning (kapitalkostnad, slitage)</t>
  </si>
  <si>
    <t>Nej</t>
  </si>
  <si>
    <t>kr/nettotonkm inkl moms</t>
  </si>
  <si>
    <t>Kr/fordonstimme (exkl moms)</t>
  </si>
  <si>
    <t>Kr/fordonstimme (inkl ev moms)</t>
  </si>
  <si>
    <t>Förarlön</t>
  </si>
  <si>
    <t>kr/nettotontimme inkl moms</t>
  </si>
  <si>
    <t>Försäkringar och skador, IT-utrustning 
och mobiler, övriga fasta kostnader</t>
  </si>
  <si>
    <t>Skatter och vägavgifter (årliga 
fordonsberoende skatter)</t>
  </si>
  <si>
    <t>Värdeminskning, fast del</t>
  </si>
  <si>
    <t>Ränta (kostnad, kapitalbindning)</t>
  </si>
  <si>
    <t>Genomsnittståg</t>
  </si>
  <si>
    <t>Valbar - projektspecifik eftersom varugrupp och därmed lastvikter kan variera mellan olika banor.</t>
  </si>
  <si>
    <t>Används ej!!!</t>
  </si>
  <si>
    <t>Kr/tontimme, 2040, inkl momspåslag</t>
  </si>
  <si>
    <t>Används ej!!! Gammalt</t>
  </si>
  <si>
    <t>Andel privata resor</t>
  </si>
  <si>
    <t>Andel tjänsteresor</t>
  </si>
  <si>
    <t>Beläggningsgrad privata resor</t>
  </si>
  <si>
    <t>Beläggningsgrad tjänsteresor</t>
  </si>
  <si>
    <t>Alla trafikmiljöer</t>
  </si>
  <si>
    <t>Buss (landsväg)</t>
  </si>
  <si>
    <t>Uppgifterna hämtas från fliken Beskrivn kalkylvrd</t>
  </si>
  <si>
    <t>Princip för hur de olika posterna ska beräknas</t>
  </si>
  <si>
    <t>Andel ee som ska räknas upp med real BNP</t>
  </si>
  <si>
    <t xml:space="preserve">IR </t>
  </si>
  <si>
    <t>Andel ee som uppräknas med real BNP</t>
  </si>
  <si>
    <t>Andänds ej! Bara en jmf</t>
  </si>
  <si>
    <t>Källor: ASEK 7, modellvärden, schabloner</t>
  </si>
  <si>
    <t>Version: ASEK 7. Källa för varje värde anges nedan.</t>
  </si>
  <si>
    <t>Källa: ASEK 7</t>
  </si>
  <si>
    <t>Turtäthetsfunktionen är beräknad utifrån värden för turintervall (ASEK 7) och därefter utförs en regression på intervallen för att få en relation dem emellan.</t>
  </si>
  <si>
    <t>(2020, beräknad av Pär Ström, se excelfil "test beräkna funktion turtäthet" )</t>
  </si>
  <si>
    <t>y=-0,0018x+0,841</t>
  </si>
  <si>
    <t>y=-0,0132x+4,2153</t>
  </si>
  <si>
    <t>y=-0,009x+0,6876</t>
  </si>
  <si>
    <t>y=-0,0125x+5,1417</t>
  </si>
  <si>
    <t>Tågkostnader för ett genomsnittståg vagnslast</t>
  </si>
  <si>
    <t>ASEK tab xx</t>
  </si>
  <si>
    <t>hgv40</t>
  </si>
  <si>
    <t>asek7</t>
  </si>
  <si>
    <t xml:space="preserve">kr per person och år </t>
  </si>
  <si>
    <t>ASEK 7</t>
  </si>
  <si>
    <t>Beräkning av andel drivmedelsskatt av "Drivmedel inkl drivmedelsskatter"</t>
  </si>
  <si>
    <t>Underlag</t>
  </si>
  <si>
    <t>Operativa kostnader för lastbilstrafik, exkl skatt och moms</t>
  </si>
  <si>
    <t>Godstidsvärden kr/tontimme, inkl moms (generellt momspåslag på 21%)</t>
  </si>
  <si>
    <t>1 Jordbruk, jakt, skogsbruk, fiske</t>
  </si>
  <si>
    <t>2 Kol och brunkol, råolja och naturgas</t>
  </si>
  <si>
    <t>3 Gruvnäring</t>
  </si>
  <si>
    <t>4 Livsmedel</t>
  </si>
  <si>
    <t>5 Textiler och textilprodukter</t>
  </si>
  <si>
    <t>6 Trä och träprodukter, korlk och straw, Pappersmassa, papper och pappersprodukter, trycksaker och recorded media</t>
  </si>
  <si>
    <t>7 Råolja och raffinerade patroleum produkter</t>
  </si>
  <si>
    <t>8 Kemikalier och kemiska produkter, konstgjorda fibrer, gummi och plastprodukter, kärndbränlse</t>
  </si>
  <si>
    <t>9 Övriga icke-metalliska mineralprodukter</t>
  </si>
  <si>
    <t>10 Metaller; tillverkade metallprodukter, exklusive maskiner och maskinutrustning</t>
  </si>
  <si>
    <t>11 Maskiner och maskinutrustning</t>
  </si>
  <si>
    <t>12 Transportutrustning</t>
  </si>
  <si>
    <t>13 Möbler och övriga tillverkade varor</t>
  </si>
  <si>
    <t>14 Sekundära råmaterial; kommunala sopor och övriga sopor</t>
  </si>
  <si>
    <t>15 Rundvirke</t>
  </si>
  <si>
    <t>16 Flygfrakt</t>
  </si>
  <si>
    <t>Genomsnittsvärde, allt gods</t>
  </si>
  <si>
    <t>Anpassning av ASEK7 varugrupper till tidigare stan-varugr. Bygger på en bedömning av vilka varugrupper som motsvarar tidigare stangrupper (se formlerna)</t>
  </si>
  <si>
    <t>Stationsnamn 1</t>
  </si>
  <si>
    <t>Stationsnamn 2</t>
  </si>
  <si>
    <t xml:space="preserve">Antal tåg per timme </t>
  </si>
  <si>
    <t>Operativ transportkostnad Buss</t>
  </si>
  <si>
    <t>Operativ transportkostnad Tåg</t>
  </si>
  <si>
    <t>Diesel %-förändring</t>
  </si>
  <si>
    <t>IR %_förändring</t>
  </si>
  <si>
    <t>Indata</t>
  </si>
  <si>
    <t>Transportkostnad buss JA-UA</t>
  </si>
  <si>
    <t>Trp kostnad tåg JA-UA</t>
  </si>
  <si>
    <t>Transportkostnad tåg JA-UA</t>
  </si>
  <si>
    <t>Kostutv IR/Diesel UA1</t>
  </si>
  <si>
    <t>NV+trafiktillväxt+Kostnadsutv IR/Diesel UA1</t>
  </si>
  <si>
    <t>Kostutv IR/Diesel UA2</t>
  </si>
  <si>
    <t>NV+trafiktillväxt+Kostnadsutv IR/Diesel UA2</t>
  </si>
  <si>
    <t>Kostnadsutveckling jvg (Rör ej) UA1</t>
  </si>
  <si>
    <t>Kostnadsutveckling jvg (Rör ej) UA2</t>
  </si>
  <si>
    <t>Skatt personbil</t>
  </si>
  <si>
    <t>Andel EE som räknas upp</t>
  </si>
  <si>
    <t>år, för realt värde</t>
  </si>
  <si>
    <t>Uppräkning till 2025</t>
  </si>
  <si>
    <t>2017 realt värde</t>
  </si>
  <si>
    <t>Emissioner</t>
  </si>
  <si>
    <t xml:space="preserve">Slitage </t>
  </si>
  <si>
    <t xml:space="preserve">Olyckor </t>
  </si>
  <si>
    <t>Summa realt värde 2025</t>
  </si>
  <si>
    <t>år, för realt värde, 2017</t>
  </si>
  <si>
    <t>Summa 2025, realt</t>
  </si>
  <si>
    <t>Väg Pbl</t>
  </si>
  <si>
    <t>Tåg/buss</t>
  </si>
  <si>
    <t xml:space="preserve">Totala EE </t>
  </si>
  <si>
    <t>EE  exkl slitage</t>
  </si>
  <si>
    <t>Källa till nedanstående indata är: Verktygsanpassade_kalkylvärden_exteff_banavg_skatter_ASEK7_20200615</t>
  </si>
  <si>
    <t>Brutto EE, 2025</t>
  </si>
  <si>
    <t>Brutto EE, exkl slitage, 2025</t>
  </si>
  <si>
    <t xml:space="preserve">Personbil, snitt utan slitagekomponent </t>
  </si>
  <si>
    <t xml:space="preserve">Personbil, snitt med slitagekomponent </t>
  </si>
  <si>
    <t>Skatt pbl</t>
  </si>
  <si>
    <t>EE exkl slitage, 2025</t>
  </si>
  <si>
    <t>Persontågstrafik, utan slitagekomponent</t>
  </si>
  <si>
    <t>Persontågstrafik, MED slitagekomponent</t>
  </si>
  <si>
    <t>Med slitage</t>
  </si>
  <si>
    <t>Utan slitage</t>
  </si>
  <si>
    <t>ASEK /7</t>
  </si>
  <si>
    <t xml:space="preserve"> - en andel av resenärerna går till bil, vilket innebär förändrade externa effekter och minskade biljettintäkter för operatören</t>
  </si>
  <si>
    <t xml:space="preserve">Här förutsätts kostnader för minsta tågstorlek användas, eftersom tågen på lågtrafikerade banor sällan är större än så. OBS! kostnaderna nedan redovisas i 2025 års reala kostnader inte i 2040 enligt ASEK. </t>
  </si>
  <si>
    <t>Interregio (GIR 200)</t>
  </si>
  <si>
    <t>GRB-C140 (fbr)</t>
  </si>
  <si>
    <t>Fast avståndskostnad kr/fkm mintåg GIR-200 1</t>
  </si>
  <si>
    <t>ASEK 7.1</t>
  </si>
  <si>
    <t>Fast avståndskostnad kr/fkm mintåg GRB-C140(fbr) 17</t>
  </si>
  <si>
    <t>Rörlig avståndskostnad kr/extra platskm GIR-200 1</t>
  </si>
  <si>
    <t>Rörlig avståndskostnad kr/extra platskm GRB-C140(fbr) 17</t>
  </si>
  <si>
    <t>Fast tidskostnad kr/fmin mintåg GIR-200 1</t>
  </si>
  <si>
    <t>Fast tidskostnad kr/fmin mintåg GRB-C140(fbr) 17</t>
  </si>
  <si>
    <t>Rörlig tidskostnad kr/platsmin extra platser GIR-200 1</t>
  </si>
  <si>
    <t>Rörlig tidskostnad kr/platsmin extra platser GRB-C140(fbr) 17</t>
  </si>
  <si>
    <t>olyckor</t>
  </si>
  <si>
    <t>slitage</t>
  </si>
  <si>
    <t>luftföroreningar</t>
  </si>
  <si>
    <t>co2</t>
  </si>
  <si>
    <t>tot</t>
  </si>
  <si>
    <t>Genomsnitt 2017-2040</t>
  </si>
  <si>
    <r>
      <t xml:space="preserve">Källa till nedanstående indata är: Verktygsanpassade_kalkylvärden_exteff_banavg_skatter_ASEK7_20200615 och </t>
    </r>
    <r>
      <rPr>
        <sz val="10"/>
        <color rgb="FFFF0000"/>
        <rFont val="Calibri"/>
        <family val="2"/>
        <scheme val="minor"/>
      </rPr>
      <t>fliken Underlag bes kalkv</t>
    </r>
  </si>
  <si>
    <t>Helen Ahlenius och Pär Ström, 2016-08/rev Pär Ström 2020-01-10/rev Pär Ström 2023-02-18</t>
  </si>
  <si>
    <t>Källa: ASEK 7.1 kostnaderna rev 23-02-18</t>
  </si>
  <si>
    <t>Underlag för rev 23-02-18</t>
  </si>
  <si>
    <t>Summa genomsnitt 2017-2040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</si>
</sst>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
    <numFmt numFmtId="165" formatCode="#,##0.0"/>
    <numFmt numFmtId="166" formatCode="0.0"/>
    <numFmt numFmtId="167" formatCode="0.0000"/>
    <numFmt numFmtId="168" formatCode="0.00000"/>
    <numFmt numFmtId="169" formatCode="0.0000000"/>
    <numFmt numFmtId="170" formatCode="#,##0.000"/>
    <numFmt numFmtId="171" formatCode="#,##0.0000"/>
    <numFmt numFmtId="172" formatCode="0.000000"/>
    <numFmt numFmtId="173" formatCode="#,##0.00000"/>
  </numFmts>
  <fonts count="87" x14ac:knownFonts="1">
    <font>
      <sz val="11"/>
      <color theme="1"/>
      <name val="Calibri"/>
      <family val="2"/>
      <scheme val="minor"/>
    </font>
    <font>
      <sz val="11"/>
      <color rgb="FF006100"/>
      <name val="Calibri"/>
      <family val="2"/>
      <scheme val="minor"/>
    </font>
    <font>
      <b/>
      <sz val="16"/>
      <color theme="1"/>
      <name val="Arial"/>
      <family val="2"/>
    </font>
    <font>
      <b/>
      <sz val="10"/>
      <color rgb="FFFF0000"/>
      <name val="Arial"/>
      <family val="2"/>
    </font>
    <font>
      <b/>
      <sz val="16"/>
      <color theme="5" tint="-0.249977111117893"/>
      <name val="Arial"/>
      <family val="2"/>
    </font>
    <font>
      <sz val="14"/>
      <color theme="1"/>
      <name val="Arial"/>
      <family val="2"/>
    </font>
    <font>
      <b/>
      <sz val="10"/>
      <color theme="1"/>
      <name val="Arial"/>
      <family val="2"/>
    </font>
    <font>
      <sz val="10"/>
      <name val="Arial"/>
      <family val="2"/>
    </font>
    <font>
      <b/>
      <sz val="10"/>
      <color theme="1"/>
      <name val="Times New Roman"/>
      <family val="1"/>
    </font>
    <font>
      <sz val="9"/>
      <color theme="1"/>
      <name val="Times New Roman"/>
      <family val="1"/>
    </font>
    <font>
      <i/>
      <sz val="10"/>
      <color rgb="FFFF0000"/>
      <name val="Arial"/>
      <family val="2"/>
    </font>
    <font>
      <sz val="11"/>
      <color theme="1"/>
      <name val="Calibri"/>
      <family val="2"/>
    </font>
    <font>
      <sz val="10"/>
      <color theme="1"/>
      <name val="Arial"/>
      <family val="2"/>
    </font>
    <font>
      <i/>
      <sz val="10"/>
      <color theme="1"/>
      <name val="Arial"/>
      <family val="2"/>
    </font>
    <font>
      <sz val="10"/>
      <color rgb="FFFF0000"/>
      <name val="Arial"/>
      <family val="2"/>
    </font>
    <font>
      <sz val="12"/>
      <color theme="1"/>
      <name val="Arial"/>
      <family val="2"/>
    </font>
    <font>
      <u/>
      <sz val="11"/>
      <color theme="1"/>
      <name val="Times New Roman"/>
      <family val="1"/>
    </font>
    <font>
      <sz val="9"/>
      <color theme="1"/>
      <name val="Arial"/>
      <family val="2"/>
    </font>
    <font>
      <b/>
      <sz val="9"/>
      <color theme="1"/>
      <name val="Arial"/>
      <family val="2"/>
    </font>
    <font>
      <sz val="11"/>
      <color theme="1"/>
      <name val="Times New Roman"/>
      <family val="1"/>
    </font>
    <font>
      <b/>
      <sz val="12"/>
      <color theme="1"/>
      <name val="Arial"/>
      <family val="2"/>
    </font>
    <font>
      <i/>
      <sz val="9"/>
      <color theme="1"/>
      <name val="Arial"/>
      <family val="2"/>
    </font>
    <font>
      <b/>
      <sz val="12"/>
      <color theme="5" tint="-0.249977111117893"/>
      <name val="Arial"/>
      <family val="2"/>
    </font>
    <font>
      <b/>
      <sz val="14"/>
      <color rgb="FFFF0000"/>
      <name val="Arial"/>
      <family val="2"/>
    </font>
    <font>
      <u/>
      <sz val="10"/>
      <color theme="1"/>
      <name val="Arial"/>
      <family val="2"/>
    </font>
    <font>
      <b/>
      <sz val="10"/>
      <name val="Arial"/>
      <family val="2"/>
    </font>
    <font>
      <i/>
      <sz val="11"/>
      <color theme="1"/>
      <name val="Arial"/>
      <family val="2"/>
    </font>
    <font>
      <sz val="11"/>
      <color theme="1"/>
      <name val="Arial"/>
      <family val="2"/>
    </font>
    <font>
      <b/>
      <sz val="14"/>
      <color theme="1"/>
      <name val="Arial"/>
      <family val="2"/>
    </font>
    <font>
      <b/>
      <sz val="9"/>
      <color indexed="81"/>
      <name val="Tahoma"/>
      <family val="2"/>
    </font>
    <font>
      <sz val="9"/>
      <color indexed="81"/>
      <name val="Tahoma"/>
      <family val="2"/>
    </font>
    <font>
      <b/>
      <sz val="11"/>
      <color theme="1"/>
      <name val="Calibri"/>
      <family val="2"/>
    </font>
    <font>
      <b/>
      <sz val="14"/>
      <name val="Arial"/>
      <family val="2"/>
    </font>
    <font>
      <u/>
      <sz val="10"/>
      <name val="Arial"/>
      <family val="2"/>
    </font>
    <font>
      <b/>
      <sz val="14"/>
      <color theme="1"/>
      <name val="Calibri"/>
      <family val="2"/>
      <scheme val="minor"/>
    </font>
    <font>
      <sz val="12"/>
      <color rgb="FFFF0000"/>
      <name val="Arial"/>
      <family val="2"/>
    </font>
    <font>
      <b/>
      <u/>
      <sz val="10"/>
      <color theme="1"/>
      <name val="Arial"/>
      <family val="2"/>
    </font>
    <font>
      <i/>
      <sz val="10"/>
      <name val="Arial"/>
      <family val="2"/>
    </font>
    <font>
      <b/>
      <sz val="8"/>
      <color indexed="81"/>
      <name val="Tahoma"/>
      <family val="2"/>
    </font>
    <font>
      <sz val="8"/>
      <color indexed="81"/>
      <name val="Tahoma"/>
      <family val="2"/>
    </font>
    <font>
      <b/>
      <sz val="11"/>
      <color theme="1"/>
      <name val="Calibri"/>
      <family val="2"/>
      <scheme val="minor"/>
    </font>
    <font>
      <i/>
      <sz val="11"/>
      <color theme="1"/>
      <name val="Calibri"/>
      <family val="2"/>
      <scheme val="minor"/>
    </font>
    <font>
      <b/>
      <i/>
      <sz val="11"/>
      <color theme="1"/>
      <name val="Calibri"/>
      <family val="2"/>
      <scheme val="minor"/>
    </font>
    <font>
      <b/>
      <sz val="12"/>
      <name val="Arial"/>
      <family val="2"/>
    </font>
    <font>
      <b/>
      <sz val="12"/>
      <color theme="1"/>
      <name val="Calibri"/>
      <family val="2"/>
      <scheme val="minor"/>
    </font>
    <font>
      <b/>
      <sz val="20"/>
      <color theme="1"/>
      <name val="Arial"/>
      <family val="2"/>
    </font>
    <font>
      <sz val="10"/>
      <color rgb="FF00B0F0"/>
      <name val="Arial"/>
      <family val="2"/>
    </font>
    <font>
      <b/>
      <sz val="11"/>
      <color theme="5" tint="-0.249977111117893"/>
      <name val="Arial"/>
      <family val="2"/>
    </font>
    <font>
      <i/>
      <sz val="10"/>
      <color theme="5" tint="-0.249977111117893"/>
      <name val="Arial"/>
      <family val="2"/>
    </font>
    <font>
      <sz val="10"/>
      <color theme="3" tint="0.39997558519241921"/>
      <name val="Arial"/>
      <family val="2"/>
    </font>
    <font>
      <b/>
      <sz val="12"/>
      <color rgb="FFFF0000"/>
      <name val="Arial"/>
      <family val="2"/>
    </font>
    <font>
      <sz val="14"/>
      <color theme="1"/>
      <name val="Calibri"/>
      <family val="2"/>
      <scheme val="minor"/>
    </font>
    <font>
      <b/>
      <sz val="9"/>
      <color theme="1"/>
      <name val="Calibri"/>
      <family val="2"/>
      <scheme val="minor"/>
    </font>
    <font>
      <sz val="8"/>
      <color theme="1"/>
      <name val="Calibri"/>
      <family val="2"/>
      <scheme val="minor"/>
    </font>
    <font>
      <b/>
      <sz val="8"/>
      <color theme="1"/>
      <name val="Arial"/>
      <family val="2"/>
    </font>
    <font>
      <i/>
      <sz val="8"/>
      <color theme="1"/>
      <name val="Calibri"/>
      <family val="2"/>
      <scheme val="minor"/>
    </font>
    <font>
      <b/>
      <sz val="24"/>
      <color theme="1"/>
      <name val="Calibri"/>
      <family val="2"/>
      <scheme val="minor"/>
    </font>
    <font>
      <b/>
      <i/>
      <sz val="14"/>
      <color theme="1"/>
      <name val="Calibri"/>
      <family val="2"/>
      <scheme val="minor"/>
    </font>
    <font>
      <sz val="11"/>
      <color rgb="FFFF0000"/>
      <name val="Calibri"/>
      <family val="2"/>
      <scheme val="minor"/>
    </font>
    <font>
      <sz val="16"/>
      <color theme="1"/>
      <name val="Calibri"/>
      <family val="2"/>
      <scheme val="minor"/>
    </font>
    <font>
      <b/>
      <sz val="18"/>
      <color theme="1"/>
      <name val="Calibri"/>
      <family val="2"/>
      <scheme val="minor"/>
    </font>
    <font>
      <sz val="9"/>
      <name val="Arial"/>
      <family val="2"/>
    </font>
    <font>
      <sz val="14"/>
      <color theme="1"/>
      <name val="Times New Roman"/>
      <family val="1"/>
    </font>
    <font>
      <sz val="14"/>
      <color rgb="FFFF0000"/>
      <name val="Arial"/>
      <family val="2"/>
    </font>
    <font>
      <sz val="14"/>
      <color rgb="FFFF0000"/>
      <name val="Calibri"/>
      <family val="2"/>
      <scheme val="minor"/>
    </font>
    <font>
      <u/>
      <sz val="14"/>
      <color theme="1"/>
      <name val="Arial"/>
      <family val="2"/>
    </font>
    <font>
      <sz val="10"/>
      <color theme="1"/>
      <name val="Calibri"/>
      <family val="2"/>
      <scheme val="minor"/>
    </font>
    <font>
      <b/>
      <sz val="10"/>
      <color theme="1"/>
      <name val="Calibri"/>
      <family val="2"/>
      <scheme val="minor"/>
    </font>
    <font>
      <b/>
      <sz val="11"/>
      <color rgb="FFFF0000"/>
      <name val="Calibri"/>
      <family val="2"/>
      <scheme val="minor"/>
    </font>
    <font>
      <i/>
      <sz val="10"/>
      <color theme="1"/>
      <name val="Calibri"/>
      <family val="2"/>
      <scheme val="minor"/>
    </font>
    <font>
      <b/>
      <sz val="20"/>
      <color theme="1"/>
      <name val="Calibri"/>
      <family val="2"/>
      <scheme val="minor"/>
    </font>
    <font>
      <sz val="20"/>
      <color theme="1"/>
      <name val="Calibri"/>
      <family val="2"/>
      <scheme val="minor"/>
    </font>
    <font>
      <b/>
      <sz val="16"/>
      <color theme="1"/>
      <name val="Calibri"/>
      <family val="2"/>
      <scheme val="minor"/>
    </font>
    <font>
      <b/>
      <sz val="11"/>
      <name val="Calibri"/>
      <family val="2"/>
      <scheme val="minor"/>
    </font>
    <font>
      <sz val="11"/>
      <color rgb="FFFF0000"/>
      <name val="Arial"/>
      <family val="2"/>
    </font>
    <font>
      <sz val="11"/>
      <name val="Arial"/>
      <family val="2"/>
    </font>
    <font>
      <sz val="10"/>
      <color theme="1"/>
      <name val="Verdana"/>
      <family val="2"/>
    </font>
    <font>
      <u/>
      <sz val="10"/>
      <color theme="1"/>
      <name val="Verdana"/>
      <family val="2"/>
    </font>
    <font>
      <sz val="11"/>
      <name val="Calibri"/>
      <family val="2"/>
      <scheme val="minor"/>
    </font>
    <font>
      <sz val="10"/>
      <color rgb="FFFF0000"/>
      <name val="Calibri"/>
      <family val="2"/>
      <scheme val="minor"/>
    </font>
    <font>
      <u/>
      <sz val="10"/>
      <color rgb="FFFF0000"/>
      <name val="Arial"/>
      <family val="2"/>
    </font>
    <font>
      <sz val="9"/>
      <color indexed="81"/>
      <name val="Tahoma"/>
      <charset val="1"/>
    </font>
    <font>
      <b/>
      <sz val="9"/>
      <color indexed="81"/>
      <name val="Tahoma"/>
      <charset val="1"/>
    </font>
    <font>
      <sz val="14"/>
      <name val="Calibri"/>
      <family val="2"/>
      <scheme val="minor"/>
    </font>
    <font>
      <sz val="9"/>
      <color indexed="8"/>
      <name val="Calibri"/>
      <family val="2"/>
      <scheme val="minor"/>
    </font>
    <font>
      <sz val="9"/>
      <color theme="1"/>
      <name val="Calibri"/>
      <family val="2"/>
      <scheme val="minor"/>
    </font>
    <font>
      <sz val="9"/>
      <name val="Calibri"/>
      <family val="2"/>
      <scheme val="minor"/>
    </font>
  </fonts>
  <fills count="28">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9" tint="-0.249977111117893"/>
        <bgColor indexed="64"/>
      </patternFill>
    </fill>
    <fill>
      <patternFill patternType="solid">
        <fgColor theme="9"/>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rgb="FF000000"/>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
    <xf numFmtId="0" fontId="0" fillId="0" borderId="0"/>
    <xf numFmtId="0" fontId="1" fillId="2" borderId="0" applyNumberFormat="0" applyBorder="0" applyAlignment="0" applyProtection="0"/>
    <xf numFmtId="0" fontId="12" fillId="0" borderId="0"/>
    <xf numFmtId="0" fontId="7" fillId="0" borderId="0"/>
    <xf numFmtId="0" fontId="76" fillId="0" borderId="0"/>
  </cellStyleXfs>
  <cellXfs count="723">
    <xf numFmtId="0" fontId="0" fillId="0" borderId="0" xfId="0"/>
    <xf numFmtId="0" fontId="0" fillId="0" borderId="0" xfId="0" applyAlignment="1">
      <alignment horizontal="center"/>
    </xf>
    <xf numFmtId="0" fontId="0" fillId="0" borderId="0" xfId="0" applyBorder="1"/>
    <xf numFmtId="0" fontId="0" fillId="0" borderId="0" xfId="0" applyAlignment="1">
      <alignment horizontal="left"/>
    </xf>
    <xf numFmtId="0" fontId="0" fillId="0" borderId="1" xfId="0" applyFont="1" applyFill="1" applyBorder="1" applyAlignment="1">
      <alignment vertical="center"/>
    </xf>
    <xf numFmtId="0" fontId="11" fillId="0" borderId="1" xfId="0" applyFont="1" applyFill="1" applyBorder="1" applyAlignment="1">
      <alignment horizontal="center"/>
    </xf>
    <xf numFmtId="0" fontId="13" fillId="0" borderId="18" xfId="0" applyFont="1" applyFill="1" applyBorder="1" applyAlignment="1">
      <alignment vertical="center"/>
    </xf>
    <xf numFmtId="0" fontId="0" fillId="0" borderId="0" xfId="0" applyFill="1" applyBorder="1"/>
    <xf numFmtId="0" fontId="17" fillId="0" borderId="0" xfId="0" applyFont="1" applyFill="1" applyBorder="1" applyAlignment="1">
      <alignment vertical="center"/>
    </xf>
    <xf numFmtId="0" fontId="17" fillId="0" borderId="13" xfId="0" applyFont="1" applyFill="1" applyBorder="1" applyAlignment="1">
      <alignment horizontal="right" vertical="center"/>
    </xf>
    <xf numFmtId="0" fontId="20" fillId="0" borderId="0" xfId="0" applyFont="1"/>
    <xf numFmtId="0" fontId="24" fillId="0" borderId="0" xfId="0" applyFont="1" applyAlignment="1">
      <alignment horizontal="center"/>
    </xf>
    <xf numFmtId="0" fontId="17" fillId="0" borderId="0" xfId="0" applyFont="1" applyFill="1" applyBorder="1" applyAlignment="1">
      <alignment horizontal="left" vertical="center"/>
    </xf>
    <xf numFmtId="0" fontId="14" fillId="0" borderId="0" xfId="0" applyFont="1"/>
    <xf numFmtId="0" fontId="0" fillId="0" borderId="0" xfId="0" applyFill="1" applyBorder="1" applyAlignment="1">
      <alignment horizontal="center"/>
    </xf>
    <xf numFmtId="0" fontId="0" fillId="0" borderId="5" xfId="0" applyBorder="1" applyAlignment="1">
      <alignment vertical="top" wrapText="1"/>
    </xf>
    <xf numFmtId="0" fontId="11" fillId="0" borderId="0" xfId="0" applyFont="1" applyAlignment="1">
      <alignment vertical="center"/>
    </xf>
    <xf numFmtId="0" fontId="3" fillId="0" borderId="0" xfId="0" applyFont="1" applyFill="1" applyBorder="1" applyAlignment="1">
      <alignment horizontal="left"/>
    </xf>
    <xf numFmtId="0" fontId="0" fillId="0" borderId="0" xfId="0" applyFont="1" applyAlignment="1">
      <alignment horizontal="left"/>
    </xf>
    <xf numFmtId="0" fontId="0" fillId="0" borderId="0" xfId="0" applyFill="1" applyAlignment="1">
      <alignment horizontal="center"/>
    </xf>
    <xf numFmtId="0" fontId="0" fillId="0" borderId="0" xfId="0" applyFill="1"/>
    <xf numFmtId="0" fontId="10" fillId="0" borderId="0" xfId="0" applyFont="1" applyAlignment="1">
      <alignment horizontal="left"/>
    </xf>
    <xf numFmtId="0" fontId="24" fillId="0" borderId="0" xfId="0" applyFont="1" applyFill="1" applyAlignment="1">
      <alignment horizontal="center"/>
    </xf>
    <xf numFmtId="0" fontId="24" fillId="0" borderId="0" xfId="0" applyFont="1" applyFill="1" applyBorder="1" applyAlignment="1">
      <alignment horizontal="center"/>
    </xf>
    <xf numFmtId="0" fontId="15" fillId="0" borderId="0" xfId="0" applyFont="1"/>
    <xf numFmtId="0" fontId="33" fillId="0" borderId="0" xfId="0" applyFont="1"/>
    <xf numFmtId="4" fontId="0" fillId="0" borderId="0" xfId="0" applyNumberFormat="1"/>
    <xf numFmtId="0" fontId="0" fillId="0" borderId="0" xfId="0" applyAlignment="1">
      <alignment horizontal="right" vertical="top"/>
    </xf>
    <xf numFmtId="0" fontId="34" fillId="0" borderId="0" xfId="0" applyFont="1"/>
    <xf numFmtId="1" fontId="0" fillId="0" borderId="0" xfId="0" applyNumberFormat="1" applyFill="1" applyAlignment="1">
      <alignment horizontal="center"/>
    </xf>
    <xf numFmtId="0" fontId="33" fillId="0" borderId="0" xfId="0" applyFont="1" applyFill="1"/>
    <xf numFmtId="0" fontId="3" fillId="0" borderId="0" xfId="0" applyFont="1" applyFill="1" applyAlignment="1">
      <alignment horizontal="left"/>
    </xf>
    <xf numFmtId="166" fontId="0" fillId="0" borderId="0" xfId="0" applyNumberFormat="1" applyFill="1" applyAlignment="1">
      <alignment horizontal="center"/>
    </xf>
    <xf numFmtId="0" fontId="25" fillId="0" borderId="0" xfId="0" applyFont="1" applyFill="1"/>
    <xf numFmtId="4" fontId="0" fillId="0" borderId="0" xfId="0" applyNumberFormat="1" applyFill="1"/>
    <xf numFmtId="2" fontId="0" fillId="0" borderId="0" xfId="0" applyNumberFormat="1" applyFill="1"/>
    <xf numFmtId="0" fontId="0" fillId="0" borderId="0" xfId="0" applyFill="1" applyAlignment="1">
      <alignment horizontal="left"/>
    </xf>
    <xf numFmtId="166" fontId="0" fillId="0" borderId="0" xfId="0" applyNumberFormat="1" applyAlignment="1">
      <alignment horizontal="center"/>
    </xf>
    <xf numFmtId="0" fontId="14" fillId="0" borderId="0" xfId="0" applyFont="1" applyAlignment="1">
      <alignment horizontal="left"/>
    </xf>
    <xf numFmtId="0" fontId="13" fillId="0" borderId="0" xfId="0" applyFont="1"/>
    <xf numFmtId="4" fontId="0" fillId="0" borderId="0" xfId="0" applyNumberFormat="1" applyAlignment="1">
      <alignment horizontal="center"/>
    </xf>
    <xf numFmtId="166" fontId="0" fillId="5" borderId="0" xfId="0" applyNumberFormat="1" applyFill="1" applyAlignment="1">
      <alignment horizontal="center"/>
    </xf>
    <xf numFmtId="166" fontId="0" fillId="4" borderId="0" xfId="0" applyNumberFormat="1" applyFill="1" applyAlignment="1">
      <alignment horizontal="center"/>
    </xf>
    <xf numFmtId="0" fontId="14" fillId="0" borderId="0" xfId="0" applyFont="1" applyFill="1"/>
    <xf numFmtId="3" fontId="0" fillId="0" borderId="0" xfId="0" applyNumberFormat="1" applyFill="1" applyAlignment="1">
      <alignment horizontal="center"/>
    </xf>
    <xf numFmtId="0" fontId="6" fillId="0" borderId="0" xfId="0" applyFont="1" applyFill="1" applyAlignment="1">
      <alignment horizontal="center" wrapText="1"/>
    </xf>
    <xf numFmtId="3" fontId="6" fillId="0" borderId="0" xfId="0" applyNumberFormat="1" applyFont="1" applyFill="1" applyAlignment="1">
      <alignment horizontal="center" wrapText="1"/>
    </xf>
    <xf numFmtId="0" fontId="2" fillId="0" borderId="0" xfId="0" applyFont="1" applyFill="1"/>
    <xf numFmtId="0" fontId="23" fillId="0" borderId="0" xfId="0" applyFont="1" applyFill="1" applyAlignment="1">
      <alignment horizontal="left"/>
    </xf>
    <xf numFmtId="0" fontId="35" fillId="0" borderId="0" xfId="0" applyFont="1" applyFill="1" applyAlignment="1">
      <alignment horizontal="left"/>
    </xf>
    <xf numFmtId="0" fontId="4" fillId="0" borderId="0" xfId="0" applyFont="1" applyFill="1"/>
    <xf numFmtId="3" fontId="0" fillId="0" borderId="0" xfId="0" applyNumberFormat="1" applyFill="1"/>
    <xf numFmtId="3" fontId="0" fillId="0" borderId="0" xfId="0" applyNumberFormat="1" applyFill="1" applyAlignment="1">
      <alignment horizontal="center" wrapText="1"/>
    </xf>
    <xf numFmtId="0" fontId="6" fillId="0" borderId="0" xfId="0" applyFont="1" applyFill="1" applyAlignment="1">
      <alignment wrapText="1"/>
    </xf>
    <xf numFmtId="2" fontId="6" fillId="0" borderId="0" xfId="0" applyNumberFormat="1" applyFont="1" applyFill="1" applyAlignment="1">
      <alignment horizontal="center" wrapText="1"/>
    </xf>
    <xf numFmtId="0" fontId="0" fillId="0" borderId="0" xfId="0" applyFill="1" applyAlignment="1">
      <alignment horizontal="center" wrapText="1"/>
    </xf>
    <xf numFmtId="0" fontId="10" fillId="0" borderId="0" xfId="0" applyFont="1" applyFill="1" applyAlignment="1">
      <alignment wrapText="1"/>
    </xf>
    <xf numFmtId="0" fontId="36" fillId="0" borderId="0" xfId="0" applyFont="1" applyFill="1" applyAlignment="1">
      <alignment horizontal="center" wrapText="1"/>
    </xf>
    <xf numFmtId="0" fontId="0" fillId="0" borderId="0" xfId="0" applyFill="1" applyAlignment="1">
      <alignment wrapText="1"/>
    </xf>
    <xf numFmtId="165" fontId="0" fillId="0" borderId="1" xfId="0" applyNumberFormat="1" applyFill="1" applyBorder="1" applyAlignment="1">
      <alignment horizontal="center"/>
    </xf>
    <xf numFmtId="4" fontId="0" fillId="0" borderId="0" xfId="0" applyNumberFormat="1" applyFill="1" applyAlignment="1">
      <alignment horizontal="center"/>
    </xf>
    <xf numFmtId="2" fontId="0" fillId="0" borderId="0" xfId="0" applyNumberFormat="1" applyFill="1" applyAlignment="1">
      <alignment horizontal="center"/>
    </xf>
    <xf numFmtId="165" fontId="0" fillId="0" borderId="0" xfId="0" applyNumberFormat="1" applyFill="1" applyAlignment="1">
      <alignment horizontal="center"/>
    </xf>
    <xf numFmtId="3" fontId="6" fillId="0" borderId="0" xfId="0" applyNumberFormat="1" applyFont="1" applyFill="1" applyAlignment="1">
      <alignment horizontal="center"/>
    </xf>
    <xf numFmtId="0" fontId="6" fillId="0" borderId="0" xfId="0" applyFont="1" applyFill="1"/>
    <xf numFmtId="0" fontId="10" fillId="0" borderId="0" xfId="0" applyFont="1" applyFill="1" applyAlignment="1">
      <alignment horizontal="left"/>
    </xf>
    <xf numFmtId="0" fontId="13" fillId="0" borderId="0" xfId="0" applyFont="1" applyFill="1"/>
    <xf numFmtId="0" fontId="20" fillId="0" borderId="0" xfId="0" applyFont="1" applyFill="1"/>
    <xf numFmtId="0" fontId="10" fillId="0" borderId="0" xfId="0" applyFont="1" applyFill="1"/>
    <xf numFmtId="0" fontId="6" fillId="0" borderId="0" xfId="0" applyFont="1" applyFill="1" applyAlignment="1">
      <alignment horizontal="left"/>
    </xf>
    <xf numFmtId="0" fontId="0" fillId="0" borderId="0" xfId="0" applyFont="1" applyFill="1" applyAlignment="1">
      <alignment horizontal="left"/>
    </xf>
    <xf numFmtId="3" fontId="24" fillId="0" borderId="0" xfId="0" applyNumberFormat="1" applyFont="1" applyFill="1" applyAlignment="1">
      <alignment horizontal="center"/>
    </xf>
    <xf numFmtId="0" fontId="36" fillId="0" borderId="0" xfId="0" applyFont="1" applyFill="1" applyAlignment="1">
      <alignment horizontal="center"/>
    </xf>
    <xf numFmtId="3" fontId="36" fillId="0" borderId="0" xfId="0" applyNumberFormat="1" applyFont="1" applyFill="1" applyAlignment="1">
      <alignment horizontal="center"/>
    </xf>
    <xf numFmtId="2" fontId="6" fillId="0" borderId="0" xfId="0" applyNumberFormat="1" applyFont="1" applyFill="1" applyAlignment="1">
      <alignment horizontal="center"/>
    </xf>
    <xf numFmtId="0" fontId="6" fillId="0" borderId="0" xfId="0" applyFont="1" applyFill="1" applyAlignment="1">
      <alignment horizontal="center"/>
    </xf>
    <xf numFmtId="164" fontId="0" fillId="0" borderId="0" xfId="0" applyNumberFormat="1" applyFill="1" applyAlignment="1">
      <alignment horizontal="center"/>
    </xf>
    <xf numFmtId="0" fontId="37" fillId="0" borderId="0" xfId="0" applyFont="1" applyFill="1" applyAlignment="1">
      <alignment horizontal="left"/>
    </xf>
    <xf numFmtId="164" fontId="13" fillId="0" borderId="0" xfId="0" applyNumberFormat="1" applyFont="1" applyFill="1" applyAlignment="1">
      <alignment horizontal="center"/>
    </xf>
    <xf numFmtId="0" fontId="13" fillId="0" borderId="0" xfId="0" applyFont="1" applyFill="1" applyAlignment="1">
      <alignment horizontal="center"/>
    </xf>
    <xf numFmtId="3" fontId="13" fillId="0" borderId="0" xfId="0" applyNumberFormat="1" applyFont="1" applyFill="1" applyAlignment="1">
      <alignment horizontal="center"/>
    </xf>
    <xf numFmtId="164" fontId="6" fillId="0" borderId="0" xfId="0" applyNumberFormat="1" applyFont="1" applyFill="1" applyAlignment="1">
      <alignment horizontal="center"/>
    </xf>
    <xf numFmtId="4" fontId="6" fillId="0" borderId="0" xfId="0" applyNumberFormat="1" applyFont="1" applyFill="1" applyAlignment="1">
      <alignment horizontal="center"/>
    </xf>
    <xf numFmtId="0" fontId="0" fillId="0" borderId="1" xfId="0" applyFill="1" applyBorder="1" applyAlignment="1">
      <alignment horizontal="center"/>
    </xf>
    <xf numFmtId="0" fontId="5" fillId="0" borderId="0" xfId="0" applyFont="1" applyFill="1" applyBorder="1"/>
    <xf numFmtId="0" fontId="6" fillId="0" borderId="0" xfId="0" applyFont="1" applyFill="1" applyBorder="1" applyAlignment="1">
      <alignment horizontal="center"/>
    </xf>
    <xf numFmtId="0" fontId="6" fillId="0" borderId="0" xfId="0" applyFont="1" applyFill="1" applyBorder="1"/>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Fill="1" applyBorder="1" applyAlignment="1">
      <alignment vertical="center"/>
    </xf>
    <xf numFmtId="0" fontId="12" fillId="0" borderId="21" xfId="0" applyFont="1" applyFill="1" applyBorder="1" applyAlignment="1">
      <alignment vertical="center"/>
    </xf>
    <xf numFmtId="0" fontId="12" fillId="0" borderId="13" xfId="0" applyFont="1" applyFill="1" applyBorder="1" applyAlignment="1">
      <alignment horizontal="right" vertical="center"/>
    </xf>
    <xf numFmtId="0" fontId="13" fillId="0" borderId="21" xfId="0" applyFont="1" applyFill="1" applyBorder="1" applyAlignment="1">
      <alignment vertical="center"/>
    </xf>
    <xf numFmtId="0" fontId="12" fillId="0" borderId="13" xfId="0" applyFont="1" applyFill="1" applyBorder="1" applyAlignment="1">
      <alignment vertical="center"/>
    </xf>
    <xf numFmtId="0" fontId="16" fillId="0" borderId="0" xfId="0" applyFont="1" applyFill="1" applyBorder="1" applyAlignment="1">
      <alignment vertical="center"/>
    </xf>
    <xf numFmtId="0" fontId="17" fillId="0" borderId="17" xfId="0" applyFont="1" applyFill="1" applyBorder="1" applyAlignment="1">
      <alignment vertical="center"/>
    </xf>
    <xf numFmtId="0" fontId="17" fillId="0" borderId="13" xfId="0" applyFont="1" applyFill="1" applyBorder="1" applyAlignment="1">
      <alignment vertical="center"/>
    </xf>
    <xf numFmtId="0" fontId="19" fillId="0" borderId="5" xfId="0" applyFont="1" applyFill="1" applyBorder="1" applyAlignment="1">
      <alignment vertical="center"/>
    </xf>
    <xf numFmtId="0" fontId="17" fillId="0" borderId="31" xfId="0" applyFont="1" applyFill="1" applyBorder="1" applyAlignment="1">
      <alignment vertical="center"/>
    </xf>
    <xf numFmtId="0" fontId="17" fillId="0" borderId="20" xfId="0" applyFont="1" applyFill="1" applyBorder="1" applyAlignment="1">
      <alignment vertical="center"/>
    </xf>
    <xf numFmtId="0" fontId="17" fillId="0" borderId="19" xfId="0" applyFont="1" applyFill="1" applyBorder="1" applyAlignment="1">
      <alignment vertical="center"/>
    </xf>
    <xf numFmtId="0" fontId="18" fillId="0" borderId="13" xfId="0" applyFont="1" applyFill="1" applyBorder="1" applyAlignment="1">
      <alignment horizontal="right" vertical="center"/>
    </xf>
    <xf numFmtId="0" fontId="18" fillId="0" borderId="13" xfId="0" applyFont="1" applyFill="1" applyBorder="1" applyAlignment="1">
      <alignment vertical="center"/>
    </xf>
    <xf numFmtId="0" fontId="19" fillId="0" borderId="0" xfId="0" applyFont="1" applyFill="1" applyBorder="1" applyAlignment="1">
      <alignment vertical="center"/>
    </xf>
    <xf numFmtId="0" fontId="18" fillId="0" borderId="20" xfId="0" applyFont="1" applyFill="1" applyBorder="1" applyAlignment="1">
      <alignment horizontal="center" vertical="center"/>
    </xf>
    <xf numFmtId="0" fontId="17" fillId="0" borderId="20" xfId="0" applyFont="1" applyFill="1" applyBorder="1" applyAlignment="1">
      <alignment horizontal="right" vertical="center"/>
    </xf>
    <xf numFmtId="0" fontId="17" fillId="0" borderId="5" xfId="0" applyFont="1" applyFill="1" applyBorder="1" applyAlignment="1">
      <alignment vertical="center"/>
    </xf>
    <xf numFmtId="0" fontId="17" fillId="0" borderId="0" xfId="0" applyFont="1" applyFill="1" applyBorder="1" applyAlignment="1">
      <alignment horizontal="right" vertical="center" indent="2"/>
    </xf>
    <xf numFmtId="0" fontId="26" fillId="0" borderId="5" xfId="0" applyFont="1" applyFill="1" applyBorder="1" applyAlignment="1">
      <alignment vertical="center"/>
    </xf>
    <xf numFmtId="0" fontId="27" fillId="0" borderId="5" xfId="0" applyFont="1" applyFill="1" applyBorder="1" applyAlignment="1">
      <alignment vertical="center"/>
    </xf>
    <xf numFmtId="0" fontId="18" fillId="0" borderId="31" xfId="0" applyFont="1" applyFill="1" applyBorder="1" applyAlignment="1">
      <alignment vertical="center"/>
    </xf>
    <xf numFmtId="0" fontId="18" fillId="0" borderId="20" xfId="0" applyFont="1" applyFill="1" applyBorder="1" applyAlignment="1">
      <alignment vertical="center"/>
    </xf>
    <xf numFmtId="0" fontId="17" fillId="0" borderId="21" xfId="2" applyFont="1" applyFill="1" applyBorder="1" applyAlignment="1">
      <alignment vertical="center"/>
    </xf>
    <xf numFmtId="0" fontId="17" fillId="0" borderId="13" xfId="2" applyFont="1" applyFill="1" applyBorder="1" applyAlignment="1">
      <alignment vertical="center"/>
    </xf>
    <xf numFmtId="0" fontId="28" fillId="0" borderId="0" xfId="0" applyFont="1" applyFill="1"/>
    <xf numFmtId="0" fontId="0" fillId="0" borderId="0" xfId="0" applyFont="1" applyFill="1"/>
    <xf numFmtId="0" fontId="0" fillId="0" borderId="0" xfId="0" applyFont="1" applyFill="1" applyAlignment="1">
      <alignment horizontal="center"/>
    </xf>
    <xf numFmtId="0" fontId="0" fillId="0" borderId="5" xfId="0" applyFont="1" applyFill="1" applyBorder="1"/>
    <xf numFmtId="0" fontId="0" fillId="0" borderId="0" xfId="0" applyFont="1" applyFill="1" applyBorder="1"/>
    <xf numFmtId="0" fontId="12" fillId="0" borderId="0" xfId="0" applyFont="1" applyFill="1" applyBorder="1"/>
    <xf numFmtId="0" fontId="0" fillId="0" borderId="6" xfId="0" applyFont="1" applyFill="1" applyBorder="1"/>
    <xf numFmtId="0" fontId="0" fillId="0" borderId="0" xfId="1" applyFont="1" applyFill="1" applyBorder="1" applyAlignment="1">
      <alignment horizontal="center"/>
    </xf>
    <xf numFmtId="0" fontId="0" fillId="0" borderId="0" xfId="0" applyFont="1" applyFill="1" applyBorder="1" applyAlignment="1">
      <alignment horizontal="right"/>
    </xf>
    <xf numFmtId="0" fontId="6" fillId="0" borderId="0" xfId="0" applyFont="1" applyFill="1" applyBorder="1" applyAlignment="1">
      <alignment horizontal="right"/>
    </xf>
    <xf numFmtId="0" fontId="13" fillId="0" borderId="0" xfId="0" applyFont="1" applyFill="1" applyBorder="1"/>
    <xf numFmtId="0" fontId="6" fillId="0" borderId="1" xfId="2" applyFont="1" applyFill="1" applyBorder="1" applyAlignment="1">
      <alignment vertical="center"/>
    </xf>
    <xf numFmtId="0" fontId="12" fillId="0" borderId="1" xfId="2" applyFont="1" applyFill="1" applyBorder="1" applyAlignment="1">
      <alignment vertical="center"/>
    </xf>
    <xf numFmtId="0" fontId="12" fillId="0" borderId="1" xfId="2" applyFont="1" applyFill="1" applyBorder="1" applyAlignment="1">
      <alignment horizontal="center" vertical="center"/>
    </xf>
    <xf numFmtId="0" fontId="13" fillId="0" borderId="1" xfId="2" applyFont="1" applyFill="1" applyBorder="1" applyAlignment="1">
      <alignment vertical="center"/>
    </xf>
    <xf numFmtId="0" fontId="13" fillId="0" borderId="1" xfId="2" applyFont="1" applyFill="1" applyBorder="1" applyAlignment="1">
      <alignment horizontal="center" vertical="center"/>
    </xf>
    <xf numFmtId="0" fontId="0" fillId="0" borderId="0" xfId="0" applyFont="1" applyFill="1" applyBorder="1" applyAlignment="1">
      <alignment horizontal="center"/>
    </xf>
    <xf numFmtId="0" fontId="12" fillId="0" borderId="0" xfId="2" applyFont="1" applyFill="1" applyBorder="1" applyAlignment="1">
      <alignment vertical="center"/>
    </xf>
    <xf numFmtId="0" fontId="12" fillId="0" borderId="0" xfId="2" applyFont="1" applyFill="1" applyBorder="1" applyAlignment="1">
      <alignment horizontal="right" vertical="center"/>
    </xf>
    <xf numFmtId="0" fontId="20" fillId="0" borderId="0" xfId="0" applyFont="1" applyFill="1" applyBorder="1"/>
    <xf numFmtId="0" fontId="20" fillId="0" borderId="5" xfId="0" applyFont="1" applyFill="1" applyBorder="1" applyAlignment="1">
      <alignment vertical="center"/>
    </xf>
    <xf numFmtId="0" fontId="21" fillId="0" borderId="1"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20" fillId="0" borderId="0" xfId="0" applyFont="1" applyFill="1" applyBorder="1" applyAlignment="1">
      <alignment vertical="center"/>
    </xf>
    <xf numFmtId="0" fontId="0" fillId="6" borderId="0" xfId="0" applyFill="1"/>
    <xf numFmtId="0" fontId="32" fillId="6" borderId="0" xfId="0" applyFont="1" applyFill="1"/>
    <xf numFmtId="0" fontId="40" fillId="0" borderId="0" xfId="0" applyFont="1"/>
    <xf numFmtId="2" fontId="0" fillId="0" borderId="0" xfId="0" applyNumberFormat="1" applyAlignment="1">
      <alignment horizontal="center"/>
    </xf>
    <xf numFmtId="0" fontId="41" fillId="0" borderId="0" xfId="0" applyFont="1" applyFill="1" applyAlignment="1">
      <alignment horizontal="center"/>
    </xf>
    <xf numFmtId="0" fontId="0" fillId="3" borderId="0" xfId="0" applyFill="1"/>
    <xf numFmtId="0" fontId="41" fillId="0" borderId="0" xfId="0" applyFont="1" applyFill="1"/>
    <xf numFmtId="0" fontId="0" fillId="0" borderId="0" xfId="0" applyFill="1" applyAlignment="1">
      <alignment horizontal="center"/>
    </xf>
    <xf numFmtId="0" fontId="6"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0" xfId="0" applyAlignment="1">
      <alignment vertical="top" wrapText="1"/>
    </xf>
    <xf numFmtId="0" fontId="0" fillId="0" borderId="0" xfId="0" applyAlignment="1">
      <alignment vertical="top"/>
    </xf>
    <xf numFmtId="0" fontId="43" fillId="0" borderId="0" xfId="0" applyFont="1" applyFill="1"/>
    <xf numFmtId="2" fontId="43" fillId="0" borderId="0" xfId="0" applyNumberFormat="1" applyFont="1" applyFill="1" applyAlignment="1">
      <alignment horizontal="center"/>
    </xf>
    <xf numFmtId="0" fontId="40" fillId="0" borderId="0" xfId="0" applyFont="1" applyFill="1"/>
    <xf numFmtId="0" fontId="44" fillId="0" borderId="0" xfId="0" applyFont="1" applyFill="1"/>
    <xf numFmtId="0" fontId="40" fillId="0" borderId="0" xfId="0" applyFont="1" applyFill="1" applyAlignment="1">
      <alignment horizontal="left"/>
    </xf>
    <xf numFmtId="164" fontId="40" fillId="0" borderId="0" xfId="0" applyNumberFormat="1" applyFont="1" applyFill="1" applyAlignment="1">
      <alignment horizontal="center"/>
    </xf>
    <xf numFmtId="0" fontId="40" fillId="0" borderId="0" xfId="0" applyFont="1" applyFill="1" applyAlignment="1">
      <alignment horizontal="center"/>
    </xf>
    <xf numFmtId="3" fontId="40" fillId="0" borderId="0" xfId="0" applyNumberFormat="1" applyFont="1" applyFill="1" applyAlignment="1">
      <alignment horizontal="center"/>
    </xf>
    <xf numFmtId="2" fontId="28" fillId="0" borderId="0" xfId="0" applyNumberFormat="1" applyFont="1" applyFill="1" applyAlignment="1">
      <alignment horizontal="center"/>
    </xf>
    <xf numFmtId="0" fontId="28" fillId="0" borderId="0" xfId="0" applyFont="1" applyFill="1" applyAlignment="1">
      <alignment horizontal="center"/>
    </xf>
    <xf numFmtId="3" fontId="28" fillId="0" borderId="0" xfId="0" applyNumberFormat="1" applyFont="1" applyFill="1" applyAlignment="1">
      <alignment horizontal="center"/>
    </xf>
    <xf numFmtId="0" fontId="28" fillId="0" borderId="0" xfId="0" applyFont="1" applyFill="1" applyAlignment="1">
      <alignment wrapText="1"/>
    </xf>
    <xf numFmtId="0" fontId="45" fillId="0" borderId="0" xfId="0" applyFont="1"/>
    <xf numFmtId="0" fontId="0" fillId="0" borderId="0" xfId="0" applyFont="1" applyAlignment="1">
      <alignment horizontal="center" wrapText="1"/>
    </xf>
    <xf numFmtId="0" fontId="46" fillId="0" borderId="0" xfId="0" applyFont="1"/>
    <xf numFmtId="0" fontId="4" fillId="0" borderId="0" xfId="0" applyFont="1"/>
    <xf numFmtId="0" fontId="0" fillId="7" borderId="0" xfId="0" applyFill="1"/>
    <xf numFmtId="0" fontId="22" fillId="0" borderId="0" xfId="0" applyFont="1"/>
    <xf numFmtId="0" fontId="10" fillId="0" borderId="0" xfId="0" applyFont="1"/>
    <xf numFmtId="0" fontId="0" fillId="11" borderId="0" xfId="0" applyFill="1" applyAlignment="1">
      <alignment horizontal="center"/>
    </xf>
    <xf numFmtId="0" fontId="0" fillId="13" borderId="0" xfId="0" applyFill="1"/>
    <xf numFmtId="0" fontId="0" fillId="14" borderId="0" xfId="0" applyFill="1"/>
    <xf numFmtId="0" fontId="0" fillId="15" borderId="0" xfId="0" applyFill="1"/>
    <xf numFmtId="0" fontId="0" fillId="16" borderId="0" xfId="0" applyFill="1"/>
    <xf numFmtId="0" fontId="6" fillId="0" borderId="0" xfId="0" applyFont="1" applyAlignment="1">
      <alignment horizontal="left"/>
    </xf>
    <xf numFmtId="0" fontId="6" fillId="17" borderId="0" xfId="0" applyFont="1" applyFill="1"/>
    <xf numFmtId="0" fontId="0" fillId="17" borderId="0" xfId="0" applyFill="1"/>
    <xf numFmtId="0" fontId="6" fillId="18" borderId="0" xfId="0" applyFont="1" applyFill="1"/>
    <xf numFmtId="0" fontId="0" fillId="18" borderId="0" xfId="0" applyFill="1"/>
    <xf numFmtId="0" fontId="6" fillId="19" borderId="0" xfId="0" applyFont="1" applyFill="1"/>
    <xf numFmtId="0" fontId="0" fillId="19" borderId="0" xfId="0" applyFill="1"/>
    <xf numFmtId="0" fontId="6" fillId="20" borderId="0" xfId="0" applyFont="1" applyFill="1"/>
    <xf numFmtId="0" fontId="0" fillId="20" borderId="0" xfId="0" applyFill="1"/>
    <xf numFmtId="0" fontId="48" fillId="0" borderId="0" xfId="0" applyFont="1"/>
    <xf numFmtId="3" fontId="0" fillId="0" borderId="0" xfId="0" applyNumberFormat="1"/>
    <xf numFmtId="3" fontId="0" fillId="0" borderId="22" xfId="0" applyNumberFormat="1" applyFill="1" applyBorder="1"/>
    <xf numFmtId="3" fontId="0" fillId="9" borderId="0" xfId="0" applyNumberFormat="1" applyFill="1"/>
    <xf numFmtId="0" fontId="10" fillId="0" borderId="0" xfId="0" applyFont="1" applyFill="1" applyBorder="1"/>
    <xf numFmtId="0" fontId="6" fillId="0" borderId="0" xfId="0" applyFont="1"/>
    <xf numFmtId="0" fontId="49" fillId="0" borderId="0" xfId="0" applyFont="1"/>
    <xf numFmtId="0" fontId="50" fillId="0" borderId="0" xfId="0" applyFont="1"/>
    <xf numFmtId="0" fontId="0" fillId="0" borderId="0" xfId="0" applyAlignment="1">
      <alignment horizontal="right"/>
    </xf>
    <xf numFmtId="0" fontId="36" fillId="0" borderId="0" xfId="0" applyFont="1" applyAlignment="1">
      <alignment horizontal="center"/>
    </xf>
    <xf numFmtId="167" fontId="0" fillId="0" borderId="0" xfId="0" applyNumberFormat="1"/>
    <xf numFmtId="0" fontId="2" fillId="0" borderId="0" xfId="0" applyFont="1"/>
    <xf numFmtId="0" fontId="6" fillId="0" borderId="0" xfId="0" applyFont="1" applyAlignment="1">
      <alignment wrapText="1"/>
    </xf>
    <xf numFmtId="0" fontId="6" fillId="0" borderId="0" xfId="0" applyFont="1" applyAlignment="1">
      <alignment horizontal="center" wrapText="1"/>
    </xf>
    <xf numFmtId="0" fontId="0" fillId="0" borderId="0" xfId="0" applyAlignment="1">
      <alignment horizontal="center" wrapText="1"/>
    </xf>
    <xf numFmtId="165" fontId="0" fillId="0" borderId="0" xfId="0" applyNumberFormat="1" applyAlignment="1">
      <alignment horizontal="left"/>
    </xf>
    <xf numFmtId="165" fontId="0" fillId="0" borderId="0" xfId="0" applyNumberFormat="1" applyAlignment="1">
      <alignment horizontal="center"/>
    </xf>
    <xf numFmtId="165" fontId="0" fillId="8" borderId="0" xfId="0" applyNumberFormat="1" applyFont="1" applyFill="1" applyAlignment="1">
      <alignment horizontal="left"/>
    </xf>
    <xf numFmtId="165" fontId="0" fillId="8" borderId="0" xfId="0" applyNumberFormat="1" applyFont="1" applyFill="1" applyAlignment="1">
      <alignment horizontal="center"/>
    </xf>
    <xf numFmtId="165" fontId="0" fillId="0" borderId="0" xfId="0" applyNumberFormat="1" applyFill="1"/>
    <xf numFmtId="165" fontId="6" fillId="7" borderId="0" xfId="0" applyNumberFormat="1" applyFont="1" applyFill="1" applyAlignment="1">
      <alignment horizontal="left"/>
    </xf>
    <xf numFmtId="165" fontId="6" fillId="7" borderId="0" xfId="0" applyNumberFormat="1" applyFont="1" applyFill="1" applyAlignment="1">
      <alignment horizontal="center"/>
    </xf>
    <xf numFmtId="0" fontId="0" fillId="8" borderId="0" xfId="0" applyFill="1" applyAlignment="1">
      <alignment horizontal="left"/>
    </xf>
    <xf numFmtId="165" fontId="0" fillId="8" borderId="0" xfId="0" applyNumberFormat="1" applyFill="1" applyAlignment="1">
      <alignment horizontal="center"/>
    </xf>
    <xf numFmtId="0" fontId="0" fillId="8" borderId="0" xfId="0" applyFill="1" applyAlignment="1">
      <alignment horizontal="center"/>
    </xf>
    <xf numFmtId="0" fontId="6" fillId="7" borderId="0" xfId="0" applyFont="1" applyFill="1" applyAlignment="1">
      <alignment horizontal="left"/>
    </xf>
    <xf numFmtId="0" fontId="6" fillId="7" borderId="0" xfId="0" applyFont="1" applyFill="1" applyAlignment="1">
      <alignment horizontal="center"/>
    </xf>
    <xf numFmtId="0" fontId="37" fillId="17" borderId="0" xfId="0" applyFont="1" applyFill="1" applyAlignment="1">
      <alignment horizontal="left"/>
    </xf>
    <xf numFmtId="4" fontId="37" fillId="17" borderId="0" xfId="0" applyNumberFormat="1" applyFont="1" applyFill="1" applyAlignment="1">
      <alignment horizontal="center"/>
    </xf>
    <xf numFmtId="0" fontId="37" fillId="17" borderId="0" xfId="0" applyFont="1" applyFill="1" applyAlignment="1">
      <alignment horizontal="center"/>
    </xf>
    <xf numFmtId="4" fontId="13" fillId="17" borderId="0" xfId="0" applyNumberFormat="1" applyFont="1" applyFill="1" applyAlignment="1">
      <alignment horizontal="center"/>
    </xf>
    <xf numFmtId="0" fontId="13" fillId="17" borderId="0" xfId="0" applyFont="1" applyFill="1" applyAlignment="1">
      <alignment horizontal="center"/>
    </xf>
    <xf numFmtId="0" fontId="13" fillId="17" borderId="0" xfId="0" applyFont="1" applyFill="1"/>
    <xf numFmtId="0" fontId="7" fillId="0" borderId="0" xfId="0" applyFont="1" applyFill="1" applyAlignment="1">
      <alignment horizontal="left"/>
    </xf>
    <xf numFmtId="4" fontId="0" fillId="0" borderId="0" xfId="0" applyNumberFormat="1" applyFont="1" applyFill="1" applyAlignment="1">
      <alignment horizontal="center"/>
    </xf>
    <xf numFmtId="0" fontId="6" fillId="7" borderId="0" xfId="0" applyFont="1" applyFill="1"/>
    <xf numFmtId="166" fontId="0" fillId="7" borderId="0" xfId="0" applyNumberFormat="1" applyFill="1" applyAlignment="1">
      <alignment horizontal="center"/>
    </xf>
    <xf numFmtId="165" fontId="6" fillId="12" borderId="0" xfId="0" applyNumberFormat="1" applyFont="1" applyFill="1" applyAlignment="1">
      <alignment horizontal="center"/>
    </xf>
    <xf numFmtId="0" fontId="0" fillId="12" borderId="0" xfId="0" applyFill="1"/>
    <xf numFmtId="165" fontId="0" fillId="0" borderId="0" xfId="0" applyNumberFormat="1"/>
    <xf numFmtId="166" fontId="0" fillId="0" borderId="0" xfId="0" applyNumberFormat="1"/>
    <xf numFmtId="165" fontId="6" fillId="0" borderId="0" xfId="0" applyNumberFormat="1" applyFont="1"/>
    <xf numFmtId="0" fontId="40" fillId="0" borderId="0" xfId="0" applyFont="1" applyAlignment="1">
      <alignment horizontal="left"/>
    </xf>
    <xf numFmtId="0" fontId="37" fillId="0" borderId="0" xfId="0" applyFont="1"/>
    <xf numFmtId="0" fontId="0" fillId="10" borderId="0" xfId="0" applyFill="1"/>
    <xf numFmtId="0" fontId="47" fillId="10" borderId="0" xfId="0" applyFont="1" applyFill="1"/>
    <xf numFmtId="0" fontId="0" fillId="10" borderId="0" xfId="0" applyFill="1" applyAlignment="1">
      <alignment horizontal="center"/>
    </xf>
    <xf numFmtId="0" fontId="14" fillId="10" borderId="0" xfId="0" applyFont="1" applyFill="1"/>
    <xf numFmtId="0" fontId="10" fillId="10" borderId="0" xfId="0" applyFont="1" applyFill="1"/>
    <xf numFmtId="0" fontId="6" fillId="10" borderId="0" xfId="0" applyFont="1" applyFill="1" applyAlignment="1">
      <alignment horizontal="center"/>
    </xf>
    <xf numFmtId="0" fontId="0" fillId="10" borderId="0" xfId="0" applyFont="1" applyFill="1" applyAlignment="1">
      <alignment horizontal="center" wrapText="1"/>
    </xf>
    <xf numFmtId="0" fontId="0" fillId="10" borderId="0" xfId="0" applyFill="1" applyAlignment="1">
      <alignment wrapText="1"/>
    </xf>
    <xf numFmtId="3" fontId="0" fillId="10" borderId="0" xfId="0" applyNumberFormat="1" applyFill="1" applyAlignment="1">
      <alignment horizontal="center"/>
    </xf>
    <xf numFmtId="0" fontId="44" fillId="0" borderId="0" xfId="0" applyFont="1"/>
    <xf numFmtId="0" fontId="41" fillId="0" borderId="0" xfId="0" applyFont="1"/>
    <xf numFmtId="0" fontId="36" fillId="0" borderId="0" xfId="0" applyFont="1" applyAlignment="1">
      <alignment horizontal="center" vertical="top"/>
    </xf>
    <xf numFmtId="0" fontId="6" fillId="0" borderId="0" xfId="0" applyFont="1" applyAlignment="1">
      <alignment vertical="top"/>
    </xf>
    <xf numFmtId="4" fontId="0" fillId="10" borderId="0" xfId="0" applyNumberFormat="1" applyFill="1" applyAlignment="1">
      <alignment horizontal="center"/>
    </xf>
    <xf numFmtId="0" fontId="41" fillId="0" borderId="0" xfId="0" applyFont="1" applyAlignment="1">
      <alignment wrapText="1"/>
    </xf>
    <xf numFmtId="0" fontId="41" fillId="0" borderId="9" xfId="0" applyFont="1" applyBorder="1"/>
    <xf numFmtId="0" fontId="41" fillId="0" borderId="10" xfId="0" applyFont="1" applyBorder="1"/>
    <xf numFmtId="0" fontId="0" fillId="0" borderId="10" xfId="0" applyBorder="1"/>
    <xf numFmtId="0" fontId="0" fillId="0" borderId="8" xfId="0" applyBorder="1"/>
    <xf numFmtId="0" fontId="41" fillId="0" borderId="34" xfId="0" applyFont="1" applyBorder="1"/>
    <xf numFmtId="0" fontId="41" fillId="0" borderId="0" xfId="0" applyFont="1" applyBorder="1"/>
    <xf numFmtId="0" fontId="0" fillId="0" borderId="35" xfId="0" applyBorder="1"/>
    <xf numFmtId="0" fontId="41" fillId="0" borderId="14" xfId="0" applyFont="1" applyBorder="1"/>
    <xf numFmtId="0" fontId="41" fillId="0" borderId="15" xfId="0" applyFont="1" applyBorder="1"/>
    <xf numFmtId="0" fontId="0" fillId="0" borderId="15" xfId="0" applyBorder="1"/>
    <xf numFmtId="0" fontId="0" fillId="0" borderId="13" xfId="0" applyBorder="1"/>
    <xf numFmtId="166" fontId="6" fillId="0" borderId="0" xfId="0" applyNumberFormat="1" applyFont="1"/>
    <xf numFmtId="0" fontId="0" fillId="0" borderId="0" xfId="0" applyFill="1" applyAlignment="1">
      <alignment horizontal="left" wrapText="1"/>
    </xf>
    <xf numFmtId="164" fontId="0" fillId="0" borderId="0" xfId="0" applyNumberFormat="1" applyAlignment="1">
      <alignment horizontal="center"/>
    </xf>
    <xf numFmtId="0" fontId="0" fillId="21" borderId="1" xfId="0" applyFill="1" applyBorder="1" applyAlignment="1">
      <alignment horizontal="left"/>
    </xf>
    <xf numFmtId="0" fontId="0" fillId="21" borderId="1" xfId="0" applyFill="1" applyBorder="1" applyAlignment="1">
      <alignment horizontal="center"/>
    </xf>
    <xf numFmtId="3" fontId="0" fillId="21" borderId="1" xfId="0" applyNumberFormat="1" applyFill="1" applyBorder="1" applyAlignment="1">
      <alignment horizontal="center"/>
    </xf>
    <xf numFmtId="0" fontId="0" fillId="0" borderId="0" xfId="0" applyAlignment="1">
      <alignment wrapText="1"/>
    </xf>
    <xf numFmtId="0" fontId="0" fillId="10" borderId="1" xfId="0" applyFill="1" applyBorder="1" applyAlignment="1">
      <alignment horizontal="center"/>
    </xf>
    <xf numFmtId="0" fontId="0" fillId="10" borderId="36" xfId="0" applyFill="1" applyBorder="1"/>
    <xf numFmtId="0" fontId="0" fillId="0" borderId="36" xfId="0" applyBorder="1"/>
    <xf numFmtId="0" fontId="40" fillId="0" borderId="36" xfId="0" applyFont="1" applyBorder="1"/>
    <xf numFmtId="0" fontId="0" fillId="0" borderId="36" xfId="0" applyFill="1" applyBorder="1" applyAlignment="1">
      <alignment horizontal="center"/>
    </xf>
    <xf numFmtId="0" fontId="0" fillId="10" borderId="26" xfId="0" applyFill="1" applyBorder="1" applyAlignment="1">
      <alignment vertical="center"/>
    </xf>
    <xf numFmtId="0" fontId="0" fillId="10" borderId="20" xfId="0" applyFill="1" applyBorder="1" applyAlignment="1">
      <alignment vertical="center"/>
    </xf>
    <xf numFmtId="0" fontId="0" fillId="10" borderId="25" xfId="0" applyFill="1" applyBorder="1" applyAlignment="1">
      <alignment vertical="center"/>
    </xf>
    <xf numFmtId="0" fontId="41" fillId="10" borderId="26" xfId="0" applyFont="1" applyFill="1" applyBorder="1" applyAlignment="1">
      <alignment vertical="center"/>
    </xf>
    <xf numFmtId="0" fontId="52" fillId="0" borderId="0" xfId="0" applyFont="1" applyAlignment="1">
      <alignment wrapText="1"/>
    </xf>
    <xf numFmtId="3" fontId="0" fillId="15" borderId="1" xfId="0" applyNumberFormat="1" applyFill="1" applyBorder="1" applyAlignment="1">
      <alignment horizontal="center"/>
    </xf>
    <xf numFmtId="3" fontId="0" fillId="0" borderId="0" xfId="0" applyNumberFormat="1" applyAlignment="1">
      <alignment horizontal="center"/>
    </xf>
    <xf numFmtId="0" fontId="14" fillId="0" borderId="0" xfId="0" applyFont="1" applyAlignment="1">
      <alignment horizontal="center"/>
    </xf>
    <xf numFmtId="0" fontId="0" fillId="17" borderId="0" xfId="0" applyFill="1" applyAlignment="1">
      <alignment horizontal="center"/>
    </xf>
    <xf numFmtId="0" fontId="0" fillId="0" borderId="0" xfId="0" applyAlignment="1">
      <alignment horizontal="center"/>
    </xf>
    <xf numFmtId="0" fontId="3" fillId="0" borderId="0" xfId="0" applyFont="1" applyAlignment="1">
      <alignment horizontal="center"/>
    </xf>
    <xf numFmtId="0" fontId="6" fillId="13" borderId="0" xfId="0" applyFont="1" applyFill="1" applyAlignment="1">
      <alignment horizontal="center" wrapText="1"/>
    </xf>
    <xf numFmtId="2" fontId="6" fillId="0" borderId="0" xfId="0" applyNumberFormat="1" applyFont="1" applyAlignment="1">
      <alignment horizontal="center" wrapText="1"/>
    </xf>
    <xf numFmtId="2" fontId="0" fillId="0" borderId="0" xfId="0" applyNumberFormat="1" applyAlignment="1">
      <alignment horizontal="center" wrapText="1"/>
    </xf>
    <xf numFmtId="3" fontId="6" fillId="0" borderId="0" xfId="0" applyNumberFormat="1" applyFont="1" applyAlignment="1">
      <alignment horizontal="center" wrapText="1"/>
    </xf>
    <xf numFmtId="0" fontId="10" fillId="0" borderId="0" xfId="0" applyFont="1" applyAlignment="1">
      <alignment wrapText="1"/>
    </xf>
    <xf numFmtId="0" fontId="36" fillId="0" borderId="0" xfId="0" applyFont="1" applyAlignment="1">
      <alignment horizontal="center" wrapText="1"/>
    </xf>
    <xf numFmtId="3" fontId="14" fillId="0" borderId="0" xfId="0" applyNumberFormat="1" applyFont="1" applyAlignment="1">
      <alignment horizontal="center"/>
    </xf>
    <xf numFmtId="3" fontId="6" fillId="7" borderId="0" xfId="0" applyNumberFormat="1" applyFont="1" applyFill="1" applyAlignment="1">
      <alignment horizontal="center"/>
    </xf>
    <xf numFmtId="3" fontId="6" fillId="0" borderId="0" xfId="0" applyNumberFormat="1" applyFont="1" applyAlignment="1">
      <alignment horizontal="center"/>
    </xf>
    <xf numFmtId="165" fontId="0" fillId="0" borderId="0" xfId="0" applyNumberFormat="1" applyFont="1" applyFill="1" applyAlignment="1">
      <alignment horizontal="center"/>
    </xf>
    <xf numFmtId="0" fontId="3" fillId="0" borderId="0" xfId="0" applyFont="1"/>
    <xf numFmtId="3" fontId="24" fillId="0" borderId="0" xfId="0" applyNumberFormat="1" applyFont="1" applyAlignment="1">
      <alignment horizontal="center"/>
    </xf>
    <xf numFmtId="3" fontId="36" fillId="0" borderId="0" xfId="0" applyNumberFormat="1" applyFont="1" applyAlignment="1">
      <alignment horizontal="center"/>
    </xf>
    <xf numFmtId="2" fontId="6" fillId="7" borderId="0" xfId="0" applyNumberFormat="1" applyFont="1" applyFill="1" applyAlignment="1">
      <alignment horizontal="center"/>
    </xf>
    <xf numFmtId="4" fontId="37" fillId="17" borderId="0" xfId="0" applyNumberFormat="1" applyFont="1" applyFill="1" applyAlignment="1">
      <alignment horizontal="left"/>
    </xf>
    <xf numFmtId="4" fontId="13" fillId="17" borderId="0" xfId="0" applyNumberFormat="1" applyFont="1" applyFill="1"/>
    <xf numFmtId="4" fontId="0" fillId="0" borderId="0" xfId="0" applyNumberFormat="1" applyAlignment="1">
      <alignment horizontal="left"/>
    </xf>
    <xf numFmtId="164" fontId="0" fillId="0" borderId="0" xfId="0" applyNumberFormat="1"/>
    <xf numFmtId="4" fontId="6" fillId="7" borderId="0" xfId="0" applyNumberFormat="1" applyFont="1" applyFill="1"/>
    <xf numFmtId="4" fontId="6" fillId="7" borderId="0" xfId="0" applyNumberFormat="1" applyFont="1" applyFill="1" applyAlignment="1">
      <alignment horizontal="center"/>
    </xf>
    <xf numFmtId="2" fontId="18" fillId="0" borderId="0" xfId="0" applyNumberFormat="1" applyFont="1" applyFill="1" applyAlignment="1">
      <alignment horizontal="center" wrapText="1"/>
    </xf>
    <xf numFmtId="0" fontId="53" fillId="0" borderId="0" xfId="0" applyFont="1" applyFill="1" applyAlignment="1">
      <alignment horizontal="center" vertical="top" wrapText="1"/>
    </xf>
    <xf numFmtId="0" fontId="0" fillId="0" borderId="0" xfId="0" applyFill="1" applyAlignment="1">
      <alignment horizontal="center" vertical="top" wrapText="1"/>
    </xf>
    <xf numFmtId="0" fontId="6" fillId="0" borderId="0" xfId="0" applyFont="1" applyFill="1" applyAlignment="1">
      <alignment horizontal="center" vertical="top" wrapText="1"/>
    </xf>
    <xf numFmtId="0" fontId="55" fillId="0" borderId="0" xfId="0" applyFont="1" applyFill="1" applyAlignment="1">
      <alignment horizontal="center"/>
    </xf>
    <xf numFmtId="2" fontId="53" fillId="0" borderId="0" xfId="0" applyNumberFormat="1" applyFont="1" applyFill="1" applyAlignment="1">
      <alignment horizontal="center" vertical="top" wrapText="1"/>
    </xf>
    <xf numFmtId="0" fontId="53" fillId="0" borderId="0" xfId="0" applyFont="1" applyFill="1" applyAlignment="1">
      <alignment wrapText="1"/>
    </xf>
    <xf numFmtId="165" fontId="0" fillId="21" borderId="1" xfId="0" applyNumberFormat="1" applyFill="1" applyBorder="1" applyAlignment="1">
      <alignment horizontal="center"/>
    </xf>
    <xf numFmtId="3" fontId="34" fillId="0" borderId="0" xfId="0" applyNumberFormat="1" applyFont="1" applyFill="1"/>
    <xf numFmtId="3" fontId="0" fillId="10" borderId="1" xfId="0" applyNumberFormat="1" applyFill="1" applyBorder="1" applyAlignment="1">
      <alignment horizontal="center"/>
    </xf>
    <xf numFmtId="165" fontId="0" fillId="10" borderId="1" xfId="0" applyNumberFormat="1" applyFill="1" applyBorder="1" applyAlignment="1">
      <alignment horizontal="center"/>
    </xf>
    <xf numFmtId="0" fontId="6" fillId="10" borderId="0" xfId="0" applyFont="1" applyFill="1" applyAlignment="1">
      <alignment horizontal="center" wrapText="1"/>
    </xf>
    <xf numFmtId="168" fontId="0" fillId="0" borderId="0" xfId="0" applyNumberFormat="1" applyFill="1"/>
    <xf numFmtId="169" fontId="0" fillId="0" borderId="0" xfId="0" applyNumberFormat="1" applyFill="1"/>
    <xf numFmtId="3" fontId="0" fillId="0" borderId="0" xfId="0" applyNumberFormat="1" applyFill="1" applyAlignment="1">
      <alignment wrapText="1"/>
    </xf>
    <xf numFmtId="3" fontId="0" fillId="0" borderId="0" xfId="0" applyNumberFormat="1" applyFill="1" applyAlignment="1">
      <alignment horizontal="center"/>
    </xf>
    <xf numFmtId="0" fontId="0" fillId="0" borderId="0" xfId="0" applyAlignment="1">
      <alignment horizontal="center"/>
    </xf>
    <xf numFmtId="0" fontId="0" fillId="0" borderId="5" xfId="0" applyFill="1" applyBorder="1" applyAlignment="1">
      <alignment wrapText="1"/>
    </xf>
    <xf numFmtId="0" fontId="0" fillId="0" borderId="0" xfId="0" applyAlignment="1"/>
    <xf numFmtId="0" fontId="0" fillId="0" borderId="1" xfId="0" applyFill="1" applyBorder="1" applyAlignment="1">
      <alignment vertical="top"/>
    </xf>
    <xf numFmtId="0" fontId="0" fillId="0" borderId="0" xfId="0" applyAlignment="1">
      <alignment horizontal="left" wrapText="1"/>
    </xf>
    <xf numFmtId="0" fontId="0" fillId="21" borderId="1" xfId="0" applyFill="1" applyBorder="1" applyAlignment="1">
      <alignment vertical="top"/>
    </xf>
    <xf numFmtId="0" fontId="7" fillId="21" borderId="1" xfId="0" applyFont="1" applyFill="1" applyBorder="1" applyAlignment="1">
      <alignment horizontal="right" vertical="top"/>
    </xf>
    <xf numFmtId="0" fontId="0" fillId="21" borderId="1" xfId="0" applyFill="1" applyBorder="1"/>
    <xf numFmtId="2" fontId="0" fillId="21" borderId="1" xfId="0" applyNumberFormat="1" applyFill="1" applyBorder="1" applyAlignment="1">
      <alignment horizontal="center"/>
    </xf>
    <xf numFmtId="0" fontId="56" fillId="0" borderId="0" xfId="0" applyFont="1"/>
    <xf numFmtId="0" fontId="0" fillId="10" borderId="1" xfId="0" applyFill="1" applyBorder="1"/>
    <xf numFmtId="0" fontId="0" fillId="10" borderId="1" xfId="0" applyFill="1" applyBorder="1" applyAlignment="1">
      <alignment wrapText="1"/>
    </xf>
    <xf numFmtId="0" fontId="42" fillId="0" borderId="0" xfId="0" applyFont="1"/>
    <xf numFmtId="0" fontId="57" fillId="0" borderId="0" xfId="0" applyFont="1"/>
    <xf numFmtId="0" fontId="53" fillId="0" borderId="0" xfId="0" applyFont="1" applyFill="1" applyAlignment="1">
      <alignment horizontal="center" wrapText="1"/>
    </xf>
    <xf numFmtId="0" fontId="53" fillId="0" borderId="0" xfId="0" applyFont="1" applyAlignment="1">
      <alignment horizontal="center" wrapText="1"/>
    </xf>
    <xf numFmtId="3" fontId="58" fillId="0" borderId="0" xfId="0" applyNumberFormat="1" applyFont="1" applyAlignment="1">
      <alignment horizontal="center"/>
    </xf>
    <xf numFmtId="0" fontId="3" fillId="0" borderId="0" xfId="0" applyFont="1" applyAlignment="1">
      <alignment horizontal="center" wrapText="1"/>
    </xf>
    <xf numFmtId="0" fontId="0" fillId="0" borderId="0" xfId="0" applyFill="1" applyAlignment="1">
      <alignment vertical="top" wrapText="1"/>
    </xf>
    <xf numFmtId="168" fontId="0" fillId="0" borderId="0" xfId="0" applyNumberFormat="1" applyAlignment="1">
      <alignment horizontal="left"/>
    </xf>
    <xf numFmtId="3" fontId="0" fillId="0" borderId="0" xfId="0" applyNumberFormat="1" applyFill="1" applyAlignment="1">
      <alignment horizontal="center"/>
    </xf>
    <xf numFmtId="0" fontId="0" fillId="0" borderId="0" xfId="0" applyAlignment="1">
      <alignment horizontal="center"/>
    </xf>
    <xf numFmtId="165" fontId="0" fillId="24" borderId="1" xfId="0" applyNumberFormat="1" applyFill="1" applyBorder="1" applyAlignment="1">
      <alignment horizontal="center"/>
    </xf>
    <xf numFmtId="3" fontId="0" fillId="24" borderId="1" xfId="0" applyNumberFormat="1" applyFill="1" applyBorder="1" applyAlignment="1">
      <alignment horizontal="center"/>
    </xf>
    <xf numFmtId="0" fontId="0" fillId="25" borderId="0" xfId="0" applyFill="1"/>
    <xf numFmtId="0" fontId="0" fillId="25" borderId="0" xfId="0" applyFill="1" applyAlignment="1">
      <alignment horizontal="center"/>
    </xf>
    <xf numFmtId="0" fontId="20" fillId="0" borderId="9" xfId="0" applyFont="1" applyBorder="1"/>
    <xf numFmtId="0" fontId="0" fillId="0" borderId="10" xfId="0" applyBorder="1" applyAlignment="1">
      <alignment horizontal="center"/>
    </xf>
    <xf numFmtId="0" fontId="0" fillId="0" borderId="8" xfId="0" applyBorder="1" applyAlignment="1">
      <alignment horizontal="center"/>
    </xf>
    <xf numFmtId="0" fontId="14" fillId="0" borderId="34" xfId="0" applyFont="1" applyFill="1" applyBorder="1"/>
    <xf numFmtId="0" fontId="0" fillId="0" borderId="0" xfId="0" applyBorder="1" applyAlignment="1">
      <alignment horizontal="center"/>
    </xf>
    <xf numFmtId="0" fontId="0" fillId="0" borderId="35" xfId="0" applyBorder="1" applyAlignment="1">
      <alignment horizontal="center"/>
    </xf>
    <xf numFmtId="0" fontId="0" fillId="0" borderId="34" xfId="0" applyBorder="1"/>
    <xf numFmtId="0" fontId="13" fillId="0" borderId="34" xfId="0" applyFont="1" applyBorder="1"/>
    <xf numFmtId="2" fontId="0" fillId="0" borderId="0" xfId="0" applyNumberFormat="1" applyBorder="1" applyAlignment="1">
      <alignment horizontal="center"/>
    </xf>
    <xf numFmtId="164" fontId="0" fillId="0" borderId="0" xfId="0" applyNumberFormat="1" applyBorder="1" applyAlignment="1">
      <alignment horizontal="center"/>
    </xf>
    <xf numFmtId="4" fontId="0" fillId="0" borderId="0" xfId="0" applyNumberFormat="1" applyBorder="1" applyAlignment="1">
      <alignment horizontal="center"/>
    </xf>
    <xf numFmtId="0" fontId="6" fillId="0" borderId="14" xfId="0" applyFont="1" applyBorder="1"/>
    <xf numFmtId="166" fontId="6" fillId="0" borderId="15" xfId="0" applyNumberFormat="1" applyFont="1" applyBorder="1" applyAlignment="1">
      <alignment horizontal="center"/>
    </xf>
    <xf numFmtId="0" fontId="0" fillId="0" borderId="13" xfId="0" applyBorder="1" applyAlignment="1">
      <alignment horizontal="center"/>
    </xf>
    <xf numFmtId="0" fontId="58" fillId="0" borderId="0" xfId="0" applyFont="1" applyAlignment="1">
      <alignment horizontal="left"/>
    </xf>
    <xf numFmtId="0" fontId="28" fillId="12" borderId="0" xfId="0" applyFont="1" applyFill="1"/>
    <xf numFmtId="2" fontId="28" fillId="12" borderId="0" xfId="0" applyNumberFormat="1" applyFont="1" applyFill="1" applyAlignment="1">
      <alignment horizontal="center"/>
    </xf>
    <xf numFmtId="0" fontId="28" fillId="12" borderId="0" xfId="0" applyFont="1" applyFill="1" applyAlignment="1">
      <alignment horizontal="center"/>
    </xf>
    <xf numFmtId="3" fontId="28" fillId="12" borderId="0" xfId="0" applyNumberFormat="1" applyFont="1" applyFill="1" applyAlignment="1">
      <alignment horizontal="center"/>
    </xf>
    <xf numFmtId="3" fontId="0" fillId="0" borderId="0" xfId="0" applyNumberFormat="1" applyFill="1" applyAlignment="1">
      <alignment horizontal="center"/>
    </xf>
    <xf numFmtId="0" fontId="53" fillId="0" borderId="0" xfId="0" applyFont="1" applyAlignment="1">
      <alignment wrapText="1"/>
    </xf>
    <xf numFmtId="0" fontId="40" fillId="0" borderId="0" xfId="0" applyFont="1" applyFill="1" applyAlignment="1">
      <alignment horizontal="center" wrapText="1"/>
    </xf>
    <xf numFmtId="0" fontId="53" fillId="10" borderId="1" xfId="0" applyFont="1" applyFill="1" applyBorder="1" applyAlignment="1">
      <alignment wrapText="1"/>
    </xf>
    <xf numFmtId="0" fontId="53" fillId="10" borderId="1" xfId="0" applyFont="1" applyFill="1" applyBorder="1" applyAlignment="1">
      <alignment horizontal="center" wrapText="1"/>
    </xf>
    <xf numFmtId="0" fontId="59" fillId="0" borderId="0" xfId="0" applyFont="1"/>
    <xf numFmtId="0" fontId="51" fillId="21" borderId="0" xfId="0" applyFont="1" applyFill="1"/>
    <xf numFmtId="0" fontId="0" fillId="21" borderId="0" xfId="0" applyFill="1"/>
    <xf numFmtId="0" fontId="0" fillId="0" borderId="5" xfId="0" applyFont="1" applyFill="1" applyBorder="1" applyAlignment="1">
      <alignment wrapText="1"/>
    </xf>
    <xf numFmtId="0" fontId="40" fillId="0" borderId="0" xfId="0" applyFont="1" applyFill="1" applyBorder="1"/>
    <xf numFmtId="0" fontId="0" fillId="11" borderId="1" xfId="0" applyFill="1" applyBorder="1" applyAlignment="1">
      <alignment horizontal="center"/>
    </xf>
    <xf numFmtId="0" fontId="35" fillId="0" borderId="0" xfId="0" applyFont="1" applyFill="1" applyBorder="1"/>
    <xf numFmtId="0" fontId="11" fillId="0" borderId="1" xfId="0" applyFont="1" applyFill="1" applyBorder="1"/>
    <xf numFmtId="0" fontId="31" fillId="0" borderId="1" xfId="0" applyFont="1" applyFill="1" applyBorder="1"/>
    <xf numFmtId="0" fontId="12" fillId="0" borderId="1" xfId="2" applyFont="1" applyFill="1" applyBorder="1"/>
    <xf numFmtId="0" fontId="6" fillId="0" borderId="1" xfId="2" applyFont="1" applyFill="1" applyBorder="1"/>
    <xf numFmtId="0" fontId="0" fillId="0" borderId="1" xfId="0" applyFont="1" applyFill="1" applyBorder="1"/>
    <xf numFmtId="0" fontId="6" fillId="0" borderId="1" xfId="0" applyFont="1" applyFill="1" applyBorder="1" applyAlignment="1">
      <alignment horizontal="center"/>
    </xf>
    <xf numFmtId="0" fontId="0" fillId="0" borderId="1" xfId="1" applyFont="1" applyFill="1" applyBorder="1" applyAlignment="1">
      <alignment horizontal="center"/>
    </xf>
    <xf numFmtId="0" fontId="6" fillId="0" borderId="21" xfId="0" applyFont="1" applyFill="1" applyBorder="1" applyAlignment="1">
      <alignment vertical="center"/>
    </xf>
    <xf numFmtId="0" fontId="6" fillId="0" borderId="13" xfId="0" applyFont="1" applyFill="1" applyBorder="1" applyAlignment="1">
      <alignment vertical="center" wrapText="1"/>
    </xf>
    <xf numFmtId="0" fontId="0" fillId="0" borderId="1" xfId="0" applyBorder="1"/>
    <xf numFmtId="0" fontId="51" fillId="0" borderId="0" xfId="0" applyFont="1" applyFill="1" applyBorder="1"/>
    <xf numFmtId="0" fontId="41" fillId="0" borderId="5" xfId="0" applyFont="1" applyFill="1" applyBorder="1"/>
    <xf numFmtId="0" fontId="24" fillId="0" borderId="1" xfId="0" applyFont="1" applyFill="1" applyBorder="1" applyAlignment="1">
      <alignment horizontal="center"/>
    </xf>
    <xf numFmtId="0" fontId="60" fillId="16" borderId="0" xfId="0" applyFont="1" applyFill="1"/>
    <xf numFmtId="0" fontId="0" fillId="0" borderId="37" xfId="0" applyBorder="1"/>
    <xf numFmtId="0" fontId="0" fillId="0" borderId="38" xfId="0" applyBorder="1"/>
    <xf numFmtId="0" fontId="61" fillId="0" borderId="13" xfId="0" applyFont="1" applyBorder="1" applyAlignment="1">
      <alignment horizontal="right" vertical="center" indent="2"/>
    </xf>
    <xf numFmtId="0" fontId="62" fillId="0" borderId="0" xfId="0" applyFont="1" applyFill="1" applyBorder="1" applyAlignment="1">
      <alignment vertical="center"/>
    </xf>
    <xf numFmtId="0" fontId="22" fillId="0" borderId="0" xfId="0" applyFont="1" applyFill="1" applyBorder="1" applyAlignment="1">
      <alignment vertical="center"/>
    </xf>
    <xf numFmtId="0" fontId="18" fillId="0" borderId="0" xfId="0" applyFont="1" applyFill="1" applyBorder="1" applyAlignment="1">
      <alignment horizontal="left" vertic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left" vertical="top" wrapText="1"/>
    </xf>
    <xf numFmtId="0" fontId="41" fillId="0" borderId="1" xfId="0" applyFont="1" applyFill="1" applyBorder="1" applyAlignment="1">
      <alignment vertical="top" wrapText="1"/>
    </xf>
    <xf numFmtId="0" fontId="0" fillId="0" borderId="1" xfId="0" applyFill="1" applyBorder="1" applyAlignment="1">
      <alignment wrapText="1"/>
    </xf>
    <xf numFmtId="0" fontId="41" fillId="0" borderId="1" xfId="0" applyFont="1" applyFill="1" applyBorder="1" applyAlignment="1">
      <alignment wrapText="1"/>
    </xf>
    <xf numFmtId="0" fontId="0" fillId="25" borderId="10" xfId="0" applyFill="1" applyBorder="1" applyAlignment="1">
      <alignment vertical="top"/>
    </xf>
    <xf numFmtId="0" fontId="41" fillId="25" borderId="10" xfId="0" applyFont="1" applyFill="1" applyBorder="1" applyAlignment="1">
      <alignment vertical="top" wrapText="1"/>
    </xf>
    <xf numFmtId="0" fontId="0" fillId="25" borderId="8" xfId="0" applyFill="1" applyBorder="1" applyAlignment="1">
      <alignment vertical="top"/>
    </xf>
    <xf numFmtId="0" fontId="0" fillId="25" borderId="34" xfId="0" applyFill="1" applyBorder="1"/>
    <xf numFmtId="0" fontId="0" fillId="25" borderId="0" xfId="0" applyFill="1" applyBorder="1"/>
    <xf numFmtId="0" fontId="41" fillId="25" borderId="0" xfId="0" applyFont="1" applyFill="1" applyBorder="1"/>
    <xf numFmtId="0" fontId="0" fillId="25" borderId="0" xfId="0" applyFill="1" applyBorder="1" applyAlignment="1">
      <alignment horizontal="right"/>
    </xf>
    <xf numFmtId="0" fontId="0" fillId="25" borderId="35" xfId="0" applyFill="1" applyBorder="1"/>
    <xf numFmtId="0" fontId="7" fillId="25" borderId="0" xfId="0" applyFont="1" applyFill="1" applyBorder="1"/>
    <xf numFmtId="3" fontId="0" fillId="25" borderId="1" xfId="0" applyNumberFormat="1" applyFill="1" applyBorder="1" applyAlignment="1">
      <alignment horizontal="center"/>
    </xf>
    <xf numFmtId="0" fontId="0" fillId="25" borderId="2" xfId="0" applyFill="1" applyBorder="1"/>
    <xf numFmtId="0" fontId="0" fillId="25" borderId="3" xfId="0" applyFill="1" applyBorder="1"/>
    <xf numFmtId="0" fontId="36" fillId="25" borderId="3" xfId="0" applyFont="1" applyFill="1" applyBorder="1" applyAlignment="1">
      <alignment horizontal="right"/>
    </xf>
    <xf numFmtId="0" fontId="0" fillId="25" borderId="4" xfId="0" applyFill="1" applyBorder="1"/>
    <xf numFmtId="0" fontId="0" fillId="25" borderId="5" xfId="0" applyFill="1" applyBorder="1"/>
    <xf numFmtId="0" fontId="0" fillId="25" borderId="6" xfId="0" applyFill="1" applyBorder="1"/>
    <xf numFmtId="0" fontId="0" fillId="25" borderId="33" xfId="0" applyFill="1" applyBorder="1"/>
    <xf numFmtId="0" fontId="0" fillId="25" borderId="22" xfId="0" applyFill="1" applyBorder="1"/>
    <xf numFmtId="0" fontId="6" fillId="25" borderId="22" xfId="0" applyFont="1" applyFill="1" applyBorder="1"/>
    <xf numFmtId="0" fontId="6" fillId="25" borderId="23" xfId="0" applyFont="1" applyFill="1" applyBorder="1"/>
    <xf numFmtId="0" fontId="0" fillId="25" borderId="14" xfId="0" applyFill="1" applyBorder="1"/>
    <xf numFmtId="0" fontId="0" fillId="25" borderId="15" xfId="0" applyFill="1" applyBorder="1"/>
    <xf numFmtId="0" fontId="0" fillId="25" borderId="13" xfId="0" applyFill="1" applyBorder="1"/>
    <xf numFmtId="0" fontId="65" fillId="25" borderId="9" xfId="0" applyFont="1" applyFill="1" applyBorder="1" applyAlignment="1">
      <alignment vertical="top"/>
    </xf>
    <xf numFmtId="0" fontId="0" fillId="25" borderId="0" xfId="0" applyFill="1" applyAlignment="1">
      <alignment wrapText="1"/>
    </xf>
    <xf numFmtId="0" fontId="58" fillId="0" borderId="0" xfId="0" applyFont="1"/>
    <xf numFmtId="0" fontId="66" fillId="0" borderId="0" xfId="0" applyFont="1"/>
    <xf numFmtId="0" fontId="67" fillId="0" borderId="0" xfId="0" applyFont="1"/>
    <xf numFmtId="0" fontId="66" fillId="0" borderId="0" xfId="0" applyFont="1" applyBorder="1"/>
    <xf numFmtId="0" fontId="58" fillId="0" borderId="0" xfId="0" applyFont="1" applyFill="1" applyBorder="1"/>
    <xf numFmtId="0" fontId="69" fillId="0" borderId="0" xfId="0" applyFont="1"/>
    <xf numFmtId="0" fontId="66" fillId="25" borderId="1" xfId="0" applyFont="1" applyFill="1" applyBorder="1"/>
    <xf numFmtId="0" fontId="70" fillId="0" borderId="0" xfId="0" applyFont="1" applyFill="1" applyBorder="1"/>
    <xf numFmtId="0" fontId="68" fillId="0" borderId="0" xfId="0" applyFont="1" applyAlignment="1">
      <alignment wrapText="1"/>
    </xf>
    <xf numFmtId="0" fontId="66" fillId="0" borderId="0" xfId="0" applyFont="1" applyAlignment="1">
      <alignment wrapText="1"/>
    </xf>
    <xf numFmtId="0" fontId="40" fillId="0" borderId="0" xfId="0" applyFont="1" applyAlignment="1">
      <alignment wrapText="1"/>
    </xf>
    <xf numFmtId="0" fontId="0" fillId="13" borderId="9" xfId="0" applyFill="1" applyBorder="1"/>
    <xf numFmtId="0" fontId="0" fillId="13" borderId="10" xfId="0" applyFill="1" applyBorder="1"/>
    <xf numFmtId="0" fontId="0" fillId="13" borderId="8" xfId="0" applyFill="1" applyBorder="1"/>
    <xf numFmtId="0" fontId="0" fillId="13" borderId="34" xfId="0" applyFill="1" applyBorder="1"/>
    <xf numFmtId="0" fontId="0" fillId="13" borderId="0" xfId="0" applyFill="1" applyBorder="1"/>
    <xf numFmtId="0" fontId="0" fillId="13" borderId="35" xfId="0" applyFill="1" applyBorder="1"/>
    <xf numFmtId="0" fontId="0" fillId="13" borderId="14" xfId="0" applyFill="1" applyBorder="1"/>
    <xf numFmtId="0" fontId="0" fillId="13" borderId="15" xfId="0" applyFill="1" applyBorder="1"/>
    <xf numFmtId="0" fontId="41" fillId="0" borderId="0" xfId="0" applyFont="1" applyFill="1" applyBorder="1"/>
    <xf numFmtId="0" fontId="40" fillId="13" borderId="35" xfId="0" applyFont="1" applyFill="1" applyBorder="1"/>
    <xf numFmtId="0" fontId="0" fillId="13" borderId="20" xfId="0" applyFill="1" applyBorder="1"/>
    <xf numFmtId="0" fontId="0" fillId="0" borderId="9" xfId="0" applyBorder="1"/>
    <xf numFmtId="0" fontId="0" fillId="0" borderId="14" xfId="0" applyBorder="1"/>
    <xf numFmtId="0" fontId="66" fillId="0" borderId="0" xfId="0" applyFont="1" applyAlignment="1">
      <alignment vertical="top"/>
    </xf>
    <xf numFmtId="0" fontId="0" fillId="13" borderId="25" xfId="0" applyFill="1" applyBorder="1"/>
    <xf numFmtId="0" fontId="0" fillId="13" borderId="26" xfId="0" applyFill="1" applyBorder="1"/>
    <xf numFmtId="0" fontId="0" fillId="25" borderId="0" xfId="0" applyFont="1" applyFill="1"/>
    <xf numFmtId="0" fontId="0" fillId="25" borderId="6" xfId="0" applyFont="1" applyFill="1" applyBorder="1"/>
    <xf numFmtId="0" fontId="40" fillId="13" borderId="20" xfId="0" applyFont="1" applyFill="1" applyBorder="1"/>
    <xf numFmtId="0" fontId="40" fillId="13" borderId="14" xfId="0" applyFont="1" applyFill="1" applyBorder="1"/>
    <xf numFmtId="0" fontId="59" fillId="12" borderId="25" xfId="0" applyFont="1" applyFill="1" applyBorder="1"/>
    <xf numFmtId="0" fontId="66" fillId="12" borderId="26" xfId="0" applyFont="1" applyFill="1" applyBorder="1"/>
    <xf numFmtId="0" fontId="0" fillId="12" borderId="20" xfId="0" applyFill="1" applyBorder="1"/>
    <xf numFmtId="0" fontId="0" fillId="12" borderId="26" xfId="0" applyFill="1" applyBorder="1"/>
    <xf numFmtId="0" fontId="0" fillId="0" borderId="0" xfId="0" applyAlignment="1">
      <alignment horizontal="center"/>
    </xf>
    <xf numFmtId="0" fontId="40" fillId="13" borderId="34" xfId="0" applyFont="1" applyFill="1" applyBorder="1"/>
    <xf numFmtId="0" fontId="40" fillId="13" borderId="13" xfId="0" applyFont="1" applyFill="1" applyBorder="1"/>
    <xf numFmtId="0" fontId="51" fillId="0" borderId="0" xfId="0" applyFont="1"/>
    <xf numFmtId="2" fontId="51" fillId="0" borderId="0" xfId="0" applyNumberFormat="1" applyFont="1"/>
    <xf numFmtId="0" fontId="51" fillId="0" borderId="0" xfId="0" applyFont="1" applyAlignment="1">
      <alignment wrapText="1"/>
    </xf>
    <xf numFmtId="0" fontId="0" fillId="0" borderId="0" xfId="0" applyAlignment="1">
      <alignment horizontal="left" vertical="top" wrapText="1"/>
    </xf>
    <xf numFmtId="0" fontId="0" fillId="0" borderId="0" xfId="0" applyFill="1" applyAlignment="1">
      <alignment horizontal="center"/>
    </xf>
    <xf numFmtId="0" fontId="60" fillId="0" borderId="0" xfId="0" applyFont="1"/>
    <xf numFmtId="0" fontId="72" fillId="0" borderId="0" xfId="0" applyFont="1"/>
    <xf numFmtId="0" fontId="34" fillId="25" borderId="1" xfId="0" applyFont="1" applyFill="1" applyBorder="1"/>
    <xf numFmtId="0" fontId="40" fillId="0" borderId="1" xfId="0" applyFont="1" applyBorder="1"/>
    <xf numFmtId="0" fontId="0" fillId="0" borderId="1" xfId="0" applyFont="1" applyBorder="1"/>
    <xf numFmtId="0" fontId="73" fillId="0" borderId="1" xfId="0" applyFont="1" applyBorder="1"/>
    <xf numFmtId="0" fontId="40" fillId="0" borderId="0" xfId="0" applyFont="1" applyBorder="1"/>
    <xf numFmtId="0" fontId="0" fillId="19" borderId="1" xfId="0" applyFill="1" applyBorder="1" applyAlignment="1">
      <alignment horizontal="center"/>
    </xf>
    <xf numFmtId="0" fontId="41" fillId="25" borderId="37" xfId="0" applyFont="1" applyFill="1" applyBorder="1"/>
    <xf numFmtId="164" fontId="40" fillId="0" borderId="37" xfId="0" applyNumberFormat="1" applyFont="1" applyBorder="1"/>
    <xf numFmtId="164" fontId="0" fillId="0" borderId="37" xfId="0" applyNumberFormat="1" applyBorder="1"/>
    <xf numFmtId="2" fontId="40" fillId="0" borderId="37" xfId="0" applyNumberFormat="1" applyFont="1" applyBorder="1"/>
    <xf numFmtId="2" fontId="0" fillId="0" borderId="37" xfId="0" applyNumberFormat="1" applyBorder="1"/>
    <xf numFmtId="0" fontId="0" fillId="13" borderId="7" xfId="0" applyFill="1" applyBorder="1"/>
    <xf numFmtId="0" fontId="0" fillId="13" borderId="29" xfId="0" applyFill="1" applyBorder="1"/>
    <xf numFmtId="0" fontId="0" fillId="0" borderId="0" xfId="0" applyAlignment="1">
      <alignment horizontal="center"/>
    </xf>
    <xf numFmtId="3" fontId="0" fillId="21" borderId="1" xfId="0" applyNumberFormat="1" applyFill="1" applyBorder="1" applyAlignment="1">
      <alignment horizontal="left"/>
    </xf>
    <xf numFmtId="0" fontId="14" fillId="0" borderId="0" xfId="0" applyFont="1" applyAlignment="1">
      <alignment wrapText="1"/>
    </xf>
    <xf numFmtId="165" fontId="0" fillId="25" borderId="0" xfId="0" applyNumberFormat="1" applyFill="1"/>
    <xf numFmtId="0" fontId="41" fillId="25" borderId="0" xfId="0" applyFont="1" applyFill="1"/>
    <xf numFmtId="0" fontId="40" fillId="0" borderId="0" xfId="0" applyFont="1" applyAlignment="1">
      <alignment horizontal="center"/>
    </xf>
    <xf numFmtId="0" fontId="71" fillId="3" borderId="25" xfId="0" applyFont="1" applyFill="1" applyBorder="1"/>
    <xf numFmtId="0" fontId="0" fillId="3" borderId="26" xfId="0" applyFill="1" applyBorder="1"/>
    <xf numFmtId="0" fontId="0" fillId="3" borderId="20" xfId="0" applyFill="1" applyBorder="1"/>
    <xf numFmtId="0" fontId="66" fillId="12" borderId="36" xfId="0" applyFont="1" applyFill="1" applyBorder="1"/>
    <xf numFmtId="0" fontId="0" fillId="12" borderId="36" xfId="0" applyFill="1" applyBorder="1"/>
    <xf numFmtId="0" fontId="0" fillId="3" borderId="1" xfId="0" applyFill="1" applyBorder="1" applyAlignment="1">
      <alignment horizontal="center"/>
    </xf>
    <xf numFmtId="0" fontId="58" fillId="21" borderId="1" xfId="0" applyFont="1" applyFill="1" applyBorder="1" applyAlignment="1">
      <alignment horizontal="left"/>
    </xf>
    <xf numFmtId="0" fontId="58" fillId="21" borderId="1" xfId="0" applyFont="1" applyFill="1" applyBorder="1" applyAlignment="1">
      <alignment horizontal="center"/>
    </xf>
    <xf numFmtId="0" fontId="58" fillId="25" borderId="0" xfId="0" applyFont="1" applyFill="1" applyBorder="1"/>
    <xf numFmtId="0" fontId="0" fillId="0" borderId="0" xfId="0" applyFill="1" applyAlignment="1">
      <alignment horizontal="center"/>
    </xf>
    <xf numFmtId="164" fontId="0" fillId="0" borderId="0" xfId="0" applyNumberFormat="1" applyFont="1" applyFill="1" applyBorder="1"/>
    <xf numFmtId="0" fontId="0" fillId="0" borderId="3" xfId="0" applyBorder="1"/>
    <xf numFmtId="0" fontId="0" fillId="0" borderId="2" xfId="0" applyBorder="1"/>
    <xf numFmtId="0" fontId="0" fillId="0" borderId="5" xfId="0" applyBorder="1"/>
    <xf numFmtId="0" fontId="42" fillId="21" borderId="2" xfId="4" applyFont="1" applyFill="1" applyBorder="1"/>
    <xf numFmtId="0" fontId="76" fillId="21" borderId="3" xfId="4" applyFill="1" applyBorder="1"/>
    <xf numFmtId="164" fontId="76" fillId="21" borderId="4" xfId="4" applyNumberFormat="1" applyFill="1" applyBorder="1"/>
    <xf numFmtId="0" fontId="41" fillId="25" borderId="1" xfId="0" applyFont="1" applyFill="1" applyBorder="1"/>
    <xf numFmtId="0" fontId="76" fillId="0" borderId="1" xfId="4" applyBorder="1"/>
    <xf numFmtId="0" fontId="76" fillId="24" borderId="1" xfId="4" applyFill="1" applyBorder="1"/>
    <xf numFmtId="164" fontId="76" fillId="24" borderId="1" xfId="4" applyNumberFormat="1" applyFill="1" applyBorder="1"/>
    <xf numFmtId="164" fontId="40" fillId="0" borderId="1" xfId="0" applyNumberFormat="1" applyFont="1" applyBorder="1"/>
    <xf numFmtId="164" fontId="0" fillId="0" borderId="1" xfId="0" applyNumberFormat="1" applyBorder="1"/>
    <xf numFmtId="2" fontId="40" fillId="0" borderId="1" xfId="0" applyNumberFormat="1" applyFont="1" applyBorder="1"/>
    <xf numFmtId="2" fontId="0" fillId="0" borderId="1" xfId="0" applyNumberFormat="1" applyBorder="1"/>
    <xf numFmtId="164" fontId="76" fillId="10" borderId="1" xfId="4" applyNumberFormat="1" applyFill="1" applyBorder="1"/>
    <xf numFmtId="0" fontId="76" fillId="0" borderId="1" xfId="4" applyFill="1" applyBorder="1"/>
    <xf numFmtId="164" fontId="76" fillId="0" borderId="1" xfId="4" applyNumberFormat="1" applyBorder="1"/>
    <xf numFmtId="164" fontId="76" fillId="0" borderId="1" xfId="4" applyNumberFormat="1" applyFill="1" applyBorder="1"/>
    <xf numFmtId="0" fontId="0" fillId="0" borderId="0" xfId="0" applyFont="1" applyBorder="1"/>
    <xf numFmtId="0" fontId="0" fillId="0" borderId="2" xfId="0" applyFill="1" applyBorder="1"/>
    <xf numFmtId="0" fontId="0" fillId="0" borderId="3" xfId="0" applyFill="1" applyBorder="1"/>
    <xf numFmtId="0" fontId="77" fillId="0" borderId="4" xfId="0" applyFont="1" applyFill="1" applyBorder="1" applyAlignment="1">
      <alignment horizontal="center"/>
    </xf>
    <xf numFmtId="0" fontId="0" fillId="0" borderId="5" xfId="0" applyFill="1" applyBorder="1"/>
    <xf numFmtId="0" fontId="0" fillId="0" borderId="6" xfId="0" applyFill="1" applyBorder="1" applyAlignment="1">
      <alignment horizontal="center"/>
    </xf>
    <xf numFmtId="0" fontId="0" fillId="0" borderId="6" xfId="0" applyFill="1" applyBorder="1"/>
    <xf numFmtId="0" fontId="0" fillId="0" borderId="33" xfId="0" applyFill="1" applyBorder="1"/>
    <xf numFmtId="0" fontId="0" fillId="0" borderId="22" xfId="0" applyFill="1" applyBorder="1" applyAlignment="1">
      <alignment horizontal="right"/>
    </xf>
    <xf numFmtId="0" fontId="78" fillId="0" borderId="1" xfId="0" applyFont="1" applyFill="1" applyBorder="1"/>
    <xf numFmtId="0" fontId="78" fillId="0" borderId="1" xfId="0" applyFont="1" applyBorder="1"/>
    <xf numFmtId="0" fontId="40" fillId="0" borderId="1" xfId="0" applyFont="1" applyBorder="1" applyAlignment="1">
      <alignment wrapText="1"/>
    </xf>
    <xf numFmtId="0" fontId="73" fillId="0" borderId="1" xfId="0" applyFont="1" applyBorder="1" applyAlignment="1">
      <alignment wrapText="1"/>
    </xf>
    <xf numFmtId="0" fontId="0" fillId="0" borderId="1" xfId="0" applyFont="1" applyBorder="1" applyAlignment="1">
      <alignment wrapText="1"/>
    </xf>
    <xf numFmtId="1" fontId="0" fillId="0" borderId="1" xfId="0" applyNumberFormat="1" applyBorder="1"/>
    <xf numFmtId="0" fontId="0" fillId="13" borderId="34" xfId="0" applyFill="1" applyBorder="1" applyAlignment="1">
      <alignment wrapText="1"/>
    </xf>
    <xf numFmtId="0" fontId="0" fillId="13" borderId="39" xfId="0" applyFill="1" applyBorder="1"/>
    <xf numFmtId="0" fontId="0" fillId="13" borderId="6" xfId="0" applyFill="1" applyBorder="1"/>
    <xf numFmtId="0" fontId="0" fillId="13" borderId="40" xfId="0" applyFill="1" applyBorder="1"/>
    <xf numFmtId="0" fontId="27" fillId="9" borderId="5" xfId="0" applyFont="1" applyFill="1" applyBorder="1"/>
    <xf numFmtId="0" fontId="27" fillId="9" borderId="0" xfId="0" applyFont="1" applyFill="1" applyBorder="1"/>
    <xf numFmtId="0" fontId="0" fillId="9" borderId="0" xfId="0" applyFill="1" applyBorder="1"/>
    <xf numFmtId="0" fontId="0" fillId="9" borderId="0" xfId="0" applyFill="1"/>
    <xf numFmtId="0" fontId="74" fillId="9" borderId="0" xfId="0" applyFont="1" applyFill="1" applyBorder="1" applyAlignment="1">
      <alignment horizontal="left" vertical="center"/>
    </xf>
    <xf numFmtId="0" fontId="75" fillId="9" borderId="5" xfId="0" applyFont="1" applyFill="1" applyBorder="1"/>
    <xf numFmtId="0" fontId="62" fillId="9" borderId="0" xfId="0" applyFont="1" applyFill="1" applyBorder="1" applyAlignment="1">
      <alignment vertical="center"/>
    </xf>
    <xf numFmtId="0" fontId="0" fillId="9" borderId="0" xfId="0" applyFont="1" applyFill="1" applyBorder="1"/>
    <xf numFmtId="0" fontId="17" fillId="9" borderId="1" xfId="0" applyFont="1" applyFill="1" applyBorder="1" applyAlignment="1">
      <alignment vertical="center"/>
    </xf>
    <xf numFmtId="0" fontId="61" fillId="9" borderId="1" xfId="0" applyFont="1" applyFill="1" applyBorder="1" applyAlignment="1">
      <alignment vertical="center"/>
    </xf>
    <xf numFmtId="0" fontId="17" fillId="9" borderId="1" xfId="0" applyFont="1" applyFill="1" applyBorder="1" applyAlignment="1">
      <alignment horizontal="center" vertical="center"/>
    </xf>
    <xf numFmtId="0" fontId="17" fillId="9" borderId="1" xfId="0" applyFont="1" applyFill="1" applyBorder="1" applyAlignment="1">
      <alignment horizontal="right" vertical="center"/>
    </xf>
    <xf numFmtId="0" fontId="0" fillId="9" borderId="1" xfId="1" applyFont="1" applyFill="1" applyBorder="1" applyAlignment="1">
      <alignment horizontal="center"/>
    </xf>
    <xf numFmtId="0" fontId="35" fillId="9" borderId="0" xfId="0" applyFont="1" applyFill="1" applyBorder="1"/>
    <xf numFmtId="0" fontId="0" fillId="9" borderId="0" xfId="0" applyFont="1" applyFill="1"/>
    <xf numFmtId="0" fontId="58" fillId="9" borderId="0" xfId="0" applyFont="1" applyFill="1" applyBorder="1"/>
    <xf numFmtId="0" fontId="17" fillId="9" borderId="31" xfId="0" applyFont="1" applyFill="1" applyBorder="1" applyAlignment="1">
      <alignment vertical="center"/>
    </xf>
    <xf numFmtId="0" fontId="17" fillId="9" borderId="20" xfId="0" applyFont="1" applyFill="1" applyBorder="1" applyAlignment="1">
      <alignment vertical="center"/>
    </xf>
    <xf numFmtId="0" fontId="17" fillId="9" borderId="19" xfId="0" applyFont="1" applyFill="1" applyBorder="1" applyAlignment="1">
      <alignment vertical="center"/>
    </xf>
    <xf numFmtId="0" fontId="17" fillId="9" borderId="17" xfId="0" applyFont="1" applyFill="1" applyBorder="1" applyAlignment="1">
      <alignment vertical="center"/>
    </xf>
    <xf numFmtId="0" fontId="17" fillId="9" borderId="13" xfId="0" applyFont="1" applyFill="1" applyBorder="1" applyAlignment="1">
      <alignment horizontal="right" vertical="center"/>
    </xf>
    <xf numFmtId="0" fontId="17" fillId="9" borderId="21" xfId="0" applyFont="1" applyFill="1" applyBorder="1" applyAlignment="1">
      <alignment vertical="center"/>
    </xf>
    <xf numFmtId="0" fontId="12" fillId="9" borderId="13" xfId="0" applyFont="1" applyFill="1" applyBorder="1" applyAlignment="1">
      <alignment horizontal="right" vertical="center"/>
    </xf>
    <xf numFmtId="0" fontId="63" fillId="9" borderId="29" xfId="0" applyFont="1" applyFill="1" applyBorder="1" applyAlignment="1">
      <alignment vertical="center"/>
    </xf>
    <xf numFmtId="0" fontId="64" fillId="9" borderId="0" xfId="0" applyFont="1" applyFill="1" applyBorder="1"/>
    <xf numFmtId="0" fontId="79" fillId="0" borderId="0" xfId="0" applyFont="1"/>
    <xf numFmtId="0" fontId="0" fillId="3" borderId="1" xfId="0" applyFill="1" applyBorder="1" applyAlignment="1">
      <alignment vertical="top"/>
    </xf>
    <xf numFmtId="0" fontId="7" fillId="3" borderId="1" xfId="0" applyFont="1" applyFill="1" applyBorder="1" applyAlignment="1">
      <alignment horizontal="right" vertical="top"/>
    </xf>
    <xf numFmtId="0" fontId="0" fillId="3" borderId="1" xfId="0" applyFill="1" applyBorder="1" applyAlignment="1">
      <alignment horizontal="right" vertical="top"/>
    </xf>
    <xf numFmtId="0" fontId="0" fillId="3" borderId="1" xfId="0" applyFont="1" applyFill="1" applyBorder="1" applyAlignment="1">
      <alignment horizontal="center"/>
    </xf>
    <xf numFmtId="0" fontId="7" fillId="3" borderId="1" xfId="0" applyFont="1" applyFill="1" applyBorder="1" applyAlignment="1">
      <alignment horizontal="center"/>
    </xf>
    <xf numFmtId="0" fontId="0" fillId="3" borderId="0" xfId="0" applyFont="1" applyFill="1" applyBorder="1"/>
    <xf numFmtId="0" fontId="8" fillId="3" borderId="7"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left"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17" xfId="0" applyFont="1" applyFill="1" applyBorder="1" applyAlignment="1">
      <alignment vertical="center" wrapText="1"/>
    </xf>
    <xf numFmtId="0" fontId="9" fillId="3" borderId="13" xfId="0"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1" xfId="0" applyFont="1" applyFill="1" applyBorder="1" applyAlignment="1">
      <alignment horizontal="center" vertical="center"/>
    </xf>
    <xf numFmtId="0" fontId="12" fillId="3" borderId="13" xfId="0" applyFont="1" applyFill="1" applyBorder="1" applyAlignment="1">
      <alignment horizontal="right" vertical="center"/>
    </xf>
    <xf numFmtId="0" fontId="13" fillId="3" borderId="1" xfId="2" applyFont="1" applyFill="1" applyBorder="1" applyAlignment="1">
      <alignment horizontal="center" vertical="center"/>
    </xf>
    <xf numFmtId="0" fontId="0" fillId="3" borderId="1" xfId="0" applyFill="1" applyBorder="1"/>
    <xf numFmtId="0" fontId="61" fillId="3" borderId="31" xfId="0" applyFont="1" applyFill="1" applyBorder="1" applyAlignment="1">
      <alignment horizontal="right" vertical="center" indent="1"/>
    </xf>
    <xf numFmtId="0" fontId="61" fillId="3" borderId="20" xfId="0" applyFont="1" applyFill="1" applyBorder="1" applyAlignment="1">
      <alignment horizontal="right" vertical="center" indent="1"/>
    </xf>
    <xf numFmtId="0" fontId="61" fillId="3" borderId="17" xfId="0" applyFont="1" applyFill="1" applyBorder="1" applyAlignment="1">
      <alignment horizontal="right" vertical="center" indent="1"/>
    </xf>
    <xf numFmtId="0" fontId="61" fillId="3" borderId="13" xfId="0" applyFont="1" applyFill="1" applyBorder="1" applyAlignment="1">
      <alignment horizontal="right" vertical="center" indent="1"/>
    </xf>
    <xf numFmtId="0" fontId="61" fillId="3" borderId="13" xfId="0" applyFont="1" applyFill="1" applyBorder="1" applyAlignment="1">
      <alignment horizontal="right" vertical="center" indent="2"/>
    </xf>
    <xf numFmtId="164" fontId="17" fillId="3" borderId="13" xfId="2" applyNumberFormat="1" applyFont="1" applyFill="1" applyBorder="1" applyAlignment="1">
      <alignment horizontal="right" vertical="center"/>
    </xf>
    <xf numFmtId="0" fontId="17" fillId="3" borderId="13" xfId="2" applyFont="1" applyFill="1" applyBorder="1" applyAlignment="1">
      <alignment vertical="center"/>
    </xf>
    <xf numFmtId="164" fontId="12" fillId="3" borderId="13" xfId="2" applyNumberFormat="1" applyFont="1" applyFill="1" applyBorder="1" applyAlignment="1">
      <alignment horizontal="right" vertical="center"/>
    </xf>
    <xf numFmtId="0" fontId="17" fillId="3" borderId="31" xfId="2" applyFont="1" applyFill="1" applyBorder="1" applyAlignment="1">
      <alignment vertical="center"/>
    </xf>
    <xf numFmtId="0" fontId="17" fillId="3" borderId="20" xfId="2" applyFont="1" applyFill="1" applyBorder="1" applyAlignment="1">
      <alignment horizontal="right" vertical="center"/>
    </xf>
    <xf numFmtId="0" fontId="17" fillId="3" borderId="17" xfId="2" applyFont="1" applyFill="1" applyBorder="1" applyAlignment="1">
      <alignment vertical="center"/>
    </xf>
    <xf numFmtId="0" fontId="17" fillId="3" borderId="13" xfId="2" applyFont="1" applyFill="1" applyBorder="1" applyAlignment="1">
      <alignment horizontal="right" vertical="center"/>
    </xf>
    <xf numFmtId="0" fontId="40" fillId="3" borderId="0" xfId="0" applyFont="1" applyFill="1"/>
    <xf numFmtId="3" fontId="17" fillId="3" borderId="13" xfId="0" applyNumberFormat="1" applyFont="1" applyFill="1" applyBorder="1" applyAlignment="1">
      <alignment horizontal="right" vertical="center"/>
    </xf>
    <xf numFmtId="3" fontId="0" fillId="3" borderId="0" xfId="0" applyNumberFormat="1" applyFont="1" applyFill="1"/>
    <xf numFmtId="1" fontId="0" fillId="3" borderId="0" xfId="0" applyNumberFormat="1" applyFont="1" applyFill="1"/>
    <xf numFmtId="2" fontId="0" fillId="3" borderId="0" xfId="0" applyNumberFormat="1" applyFill="1"/>
    <xf numFmtId="164" fontId="0" fillId="0" borderId="1" xfId="0" applyNumberFormat="1" applyFill="1" applyBorder="1" applyAlignment="1">
      <alignment horizontal="center"/>
    </xf>
    <xf numFmtId="164" fontId="0" fillId="3" borderId="0" xfId="0" applyNumberFormat="1" applyFill="1"/>
    <xf numFmtId="0" fontId="17" fillId="3" borderId="1" xfId="2" applyFont="1" applyFill="1" applyBorder="1" applyAlignment="1">
      <alignment horizontal="center" vertical="center"/>
    </xf>
    <xf numFmtId="170" fontId="0" fillId="21" borderId="1" xfId="0" applyNumberFormat="1" applyFill="1" applyBorder="1" applyAlignment="1">
      <alignment horizontal="center"/>
    </xf>
    <xf numFmtId="171" fontId="0" fillId="21" borderId="1" xfId="0" applyNumberFormat="1" applyFill="1" applyBorder="1" applyAlignment="1">
      <alignment horizontal="center"/>
    </xf>
    <xf numFmtId="168" fontId="0" fillId="0" borderId="0" xfId="0" applyNumberFormat="1"/>
    <xf numFmtId="172" fontId="0" fillId="0" borderId="0" xfId="0" applyNumberFormat="1"/>
    <xf numFmtId="171" fontId="0" fillId="0" borderId="0" xfId="0" applyNumberFormat="1" applyAlignment="1">
      <alignment horizontal="center"/>
    </xf>
    <xf numFmtId="173" fontId="0" fillId="8" borderId="0" xfId="0" applyNumberFormat="1" applyFont="1" applyFill="1" applyAlignment="1">
      <alignment horizontal="center"/>
    </xf>
    <xf numFmtId="168" fontId="6" fillId="7" borderId="0" xfId="0" applyNumberFormat="1" applyFont="1" applyFill="1" applyAlignment="1">
      <alignment horizontal="center"/>
    </xf>
    <xf numFmtId="0" fontId="78" fillId="10" borderId="0" xfId="0" applyFont="1" applyFill="1" applyAlignment="1">
      <alignment horizontal="center" wrapText="1"/>
    </xf>
    <xf numFmtId="0" fontId="14" fillId="0" borderId="35" xfId="2" applyFont="1" applyFill="1" applyBorder="1" applyAlignment="1">
      <alignment horizontal="center" vertical="center" wrapText="1"/>
    </xf>
    <xf numFmtId="0" fontId="64" fillId="0" borderId="0" xfId="0" applyFont="1" applyAlignment="1">
      <alignment wrapText="1"/>
    </xf>
    <xf numFmtId="4" fontId="58" fillId="15" borderId="0" xfId="0" applyNumberFormat="1" applyFont="1" applyFill="1" applyBorder="1" applyAlignment="1">
      <alignment horizontal="center"/>
    </xf>
    <xf numFmtId="0" fontId="80" fillId="0" borderId="0" xfId="0" applyFont="1" applyFill="1" applyBorder="1" applyAlignment="1">
      <alignment horizontal="center"/>
    </xf>
    <xf numFmtId="0" fontId="0" fillId="0" borderId="41" xfId="0" applyFont="1" applyFill="1" applyBorder="1"/>
    <xf numFmtId="0" fontId="0" fillId="0" borderId="42" xfId="0" applyFont="1" applyFill="1" applyBorder="1"/>
    <xf numFmtId="0" fontId="0" fillId="0" borderId="43" xfId="0" applyBorder="1"/>
    <xf numFmtId="0" fontId="0" fillId="0" borderId="44" xfId="0" applyBorder="1"/>
    <xf numFmtId="0" fontId="17" fillId="3" borderId="21" xfId="0" applyFont="1" applyFill="1" applyBorder="1" applyAlignment="1">
      <alignment vertical="center"/>
    </xf>
    <xf numFmtId="0" fontId="12" fillId="3" borderId="13" xfId="0" applyFont="1" applyFill="1" applyBorder="1" applyAlignment="1">
      <alignment horizontal="right" vertical="center" indent="1"/>
    </xf>
    <xf numFmtId="0" fontId="12" fillId="3" borderId="13" xfId="2" applyFont="1" applyFill="1" applyBorder="1" applyAlignment="1">
      <alignment horizontal="center" vertical="center" wrapText="1"/>
    </xf>
    <xf numFmtId="0" fontId="58" fillId="3" borderId="46" xfId="0" applyFont="1" applyFill="1" applyBorder="1"/>
    <xf numFmtId="171" fontId="58" fillId="3" borderId="45" xfId="0" applyNumberFormat="1" applyFont="1" applyFill="1" applyBorder="1" applyAlignment="1">
      <alignment horizontal="center"/>
    </xf>
    <xf numFmtId="0" fontId="40" fillId="0" borderId="0" xfId="0" applyFont="1" applyFill="1" applyBorder="1" applyAlignment="1">
      <alignment wrapText="1"/>
    </xf>
    <xf numFmtId="164" fontId="40" fillId="0" borderId="0" xfId="0" applyNumberFormat="1" applyFont="1" applyFill="1" applyBorder="1"/>
    <xf numFmtId="167" fontId="40" fillId="0" borderId="0" xfId="0" applyNumberFormat="1" applyFont="1" applyFill="1" applyBorder="1"/>
    <xf numFmtId="0" fontId="40" fillId="13" borderId="17" xfId="0" applyFont="1" applyFill="1" applyBorder="1"/>
    <xf numFmtId="167" fontId="0" fillId="13" borderId="35" xfId="0" applyNumberFormat="1" applyFill="1" applyBorder="1"/>
    <xf numFmtId="0" fontId="0" fillId="26" borderId="0" xfId="0" applyFill="1"/>
    <xf numFmtId="0" fontId="0" fillId="27" borderId="10" xfId="0" applyFill="1" applyBorder="1"/>
    <xf numFmtId="0" fontId="0" fillId="27" borderId="0" xfId="0" applyFill="1" applyBorder="1"/>
    <xf numFmtId="0" fontId="0" fillId="27" borderId="0" xfId="0" applyFill="1"/>
    <xf numFmtId="0" fontId="0" fillId="27" borderId="13" xfId="0" applyFill="1" applyBorder="1"/>
    <xf numFmtId="164" fontId="0" fillId="27" borderId="0" xfId="0" applyNumberFormat="1" applyFill="1"/>
    <xf numFmtId="2" fontId="0" fillId="27" borderId="0" xfId="0" applyNumberFormat="1" applyFill="1"/>
    <xf numFmtId="0" fontId="0" fillId="27" borderId="15" xfId="0" applyFill="1" applyBorder="1"/>
    <xf numFmtId="2" fontId="0" fillId="26" borderId="0" xfId="0" applyNumberFormat="1" applyFill="1"/>
    <xf numFmtId="0" fontId="73" fillId="13" borderId="9" xfId="0" applyFont="1" applyFill="1" applyBorder="1"/>
    <xf numFmtId="0" fontId="73" fillId="13" borderId="8" xfId="0" applyFont="1" applyFill="1" applyBorder="1"/>
    <xf numFmtId="0" fontId="73" fillId="0" borderId="0" xfId="0" applyFont="1"/>
    <xf numFmtId="0" fontId="6" fillId="3" borderId="0" xfId="0" applyFont="1" applyFill="1" applyBorder="1"/>
    <xf numFmtId="0" fontId="0" fillId="3" borderId="1" xfId="0" applyFont="1" applyFill="1" applyBorder="1" applyAlignment="1">
      <alignment horizontal="left"/>
    </xf>
    <xf numFmtId="0" fontId="0" fillId="3" borderId="1" xfId="0" applyFont="1" applyFill="1" applyBorder="1"/>
    <xf numFmtId="0" fontId="12" fillId="3" borderId="1" xfId="0" applyFont="1" applyFill="1" applyBorder="1"/>
    <xf numFmtId="0" fontId="78" fillId="3" borderId="1" xfId="0" applyFont="1" applyFill="1" applyBorder="1" applyAlignment="1">
      <alignment horizontal="center"/>
    </xf>
    <xf numFmtId="2" fontId="0" fillId="3" borderId="1" xfId="0" applyNumberFormat="1" applyFont="1" applyFill="1" applyBorder="1" applyAlignment="1">
      <alignment horizontal="center"/>
    </xf>
    <xf numFmtId="0" fontId="78" fillId="3" borderId="1" xfId="0" applyFont="1" applyFill="1" applyBorder="1" applyAlignment="1">
      <alignment horizontal="left"/>
    </xf>
    <xf numFmtId="0" fontId="12" fillId="3" borderId="1" xfId="2" applyFont="1" applyFill="1" applyBorder="1"/>
    <xf numFmtId="167" fontId="0" fillId="3" borderId="1" xfId="0" applyNumberFormat="1" applyFont="1" applyFill="1" applyBorder="1" applyAlignment="1">
      <alignment horizontal="center"/>
    </xf>
    <xf numFmtId="164" fontId="0" fillId="3" borderId="1" xfId="0" applyNumberFormat="1" applyFont="1" applyFill="1" applyBorder="1" applyAlignment="1">
      <alignment horizontal="center"/>
    </xf>
    <xf numFmtId="0" fontId="58" fillId="3" borderId="0" xfId="0" applyFont="1" applyFill="1" applyBorder="1"/>
    <xf numFmtId="0" fontId="0" fillId="3" borderId="0" xfId="0" applyFill="1" applyBorder="1"/>
    <xf numFmtId="0" fontId="12" fillId="3" borderId="0" xfId="0" applyFont="1" applyFill="1" applyBorder="1"/>
    <xf numFmtId="0" fontId="40" fillId="0" borderId="25" xfId="0" applyFont="1" applyFill="1" applyBorder="1"/>
    <xf numFmtId="0" fontId="40" fillId="3" borderId="1" xfId="0" applyFont="1" applyFill="1" applyBorder="1"/>
    <xf numFmtId="164" fontId="0" fillId="3" borderId="1" xfId="0" applyNumberFormat="1" applyFont="1" applyFill="1" applyBorder="1"/>
    <xf numFmtId="2" fontId="0" fillId="3" borderId="1" xfId="0" applyNumberFormat="1" applyFont="1" applyFill="1" applyBorder="1"/>
    <xf numFmtId="0" fontId="0" fillId="0" borderId="0" xfId="0" applyFill="1" applyAlignment="1">
      <alignment horizontal="center"/>
    </xf>
    <xf numFmtId="171" fontId="0" fillId="0" borderId="0" xfId="0" applyNumberFormat="1" applyFill="1" applyAlignment="1">
      <alignment horizontal="center"/>
    </xf>
    <xf numFmtId="171" fontId="0" fillId="10" borderId="0" xfId="0" applyNumberFormat="1" applyFill="1" applyAlignment="1">
      <alignment horizontal="center"/>
    </xf>
    <xf numFmtId="164" fontId="0" fillId="0" borderId="29" xfId="0" applyNumberFormat="1" applyFill="1" applyBorder="1"/>
    <xf numFmtId="2" fontId="66" fillId="0" borderId="17" xfId="0" applyNumberFormat="1" applyFont="1" applyFill="1" applyBorder="1"/>
    <xf numFmtId="4" fontId="78" fillId="0" borderId="0" xfId="0" applyNumberFormat="1" applyFont="1" applyFill="1"/>
    <xf numFmtId="0" fontId="78" fillId="0" borderId="0" xfId="0" applyFont="1" applyFill="1"/>
    <xf numFmtId="0" fontId="7" fillId="0" borderId="0" xfId="0" applyFont="1"/>
    <xf numFmtId="0" fontId="78" fillId="0" borderId="0" xfId="0" applyFont="1" applyAlignment="1">
      <alignment horizontal="center"/>
    </xf>
    <xf numFmtId="0" fontId="78" fillId="0" borderId="0" xfId="0" applyFont="1"/>
    <xf numFmtId="0" fontId="7" fillId="0" borderId="0" xfId="0" applyFont="1" applyAlignment="1">
      <alignment horizontal="left"/>
    </xf>
    <xf numFmtId="0" fontId="7" fillId="0" borderId="0" xfId="0" applyFont="1" applyFill="1"/>
    <xf numFmtId="0" fontId="78" fillId="0" borderId="0" xfId="0" applyFont="1" applyFill="1" applyAlignment="1">
      <alignment horizontal="center"/>
    </xf>
    <xf numFmtId="0" fontId="78" fillId="0" borderId="0" xfId="0" applyFont="1" applyAlignment="1">
      <alignment horizontal="left"/>
    </xf>
    <xf numFmtId="4" fontId="78" fillId="0" borderId="0" xfId="0" applyNumberFormat="1" applyFont="1" applyAlignment="1">
      <alignment horizontal="center"/>
    </xf>
    <xf numFmtId="0" fontId="25" fillId="0" borderId="0" xfId="0" applyFont="1" applyAlignment="1">
      <alignment horizontal="left"/>
    </xf>
    <xf numFmtId="165" fontId="83" fillId="10" borderId="0" xfId="0" applyNumberFormat="1" applyFont="1" applyFill="1" applyAlignment="1">
      <alignment horizontal="center"/>
    </xf>
    <xf numFmtId="0" fontId="78" fillId="10" borderId="0" xfId="0" applyFont="1" applyFill="1" applyAlignment="1">
      <alignment horizontal="center"/>
    </xf>
    <xf numFmtId="3" fontId="78" fillId="21" borderId="1" xfId="0" applyNumberFormat="1" applyFont="1" applyFill="1" applyBorder="1" applyAlignment="1">
      <alignment horizontal="center"/>
    </xf>
    <xf numFmtId="165" fontId="78" fillId="0" borderId="0" xfId="0" applyNumberFormat="1" applyFont="1" applyAlignment="1">
      <alignment horizontal="center"/>
    </xf>
    <xf numFmtId="0" fontId="84" fillId="3" borderId="0" xfId="0" applyFont="1" applyFill="1" applyBorder="1" applyAlignment="1">
      <alignment horizontal="left"/>
    </xf>
    <xf numFmtId="0" fontId="85" fillId="3" borderId="0" xfId="2" applyFont="1" applyFill="1"/>
    <xf numFmtId="2" fontId="85" fillId="6" borderId="0" xfId="2" applyNumberFormat="1" applyFont="1" applyFill="1"/>
    <xf numFmtId="0" fontId="86" fillId="3" borderId="0" xfId="0" applyFont="1" applyFill="1" applyBorder="1" applyAlignment="1">
      <alignment horizontal="center"/>
    </xf>
    <xf numFmtId="0" fontId="85" fillId="0" borderId="0" xfId="2" applyFont="1" applyFill="1"/>
    <xf numFmtId="2" fontId="85" fillId="3" borderId="0" xfId="2" applyNumberFormat="1" applyFont="1" applyFill="1" applyAlignment="1">
      <alignment horizontal="right"/>
    </xf>
    <xf numFmtId="0" fontId="85" fillId="3" borderId="0" xfId="2" applyNumberFormat="1" applyFont="1" applyFill="1" applyAlignment="1">
      <alignment horizontal="right"/>
    </xf>
    <xf numFmtId="0" fontId="17" fillId="0" borderId="21" xfId="0" applyFont="1" applyFill="1" applyBorder="1" applyAlignment="1">
      <alignment vertical="center"/>
    </xf>
    <xf numFmtId="0" fontId="12" fillId="0" borderId="13" xfId="0" applyFont="1" applyFill="1" applyBorder="1" applyAlignment="1">
      <alignment horizontal="right" vertical="center" indent="1"/>
    </xf>
    <xf numFmtId="0" fontId="12" fillId="0" borderId="13" xfId="2" applyFont="1" applyFill="1" applyBorder="1" applyAlignment="1">
      <alignment horizontal="center" vertical="center" wrapText="1"/>
    </xf>
    <xf numFmtId="0" fontId="0" fillId="0" borderId="38" xfId="0" applyFont="1" applyBorder="1"/>
    <xf numFmtId="0" fontId="0" fillId="0" borderId="0" xfId="0" applyFont="1"/>
    <xf numFmtId="0" fontId="0" fillId="3" borderId="31" xfId="0" applyFont="1" applyFill="1" applyBorder="1"/>
    <xf numFmtId="0" fontId="0" fillId="0" borderId="37" xfId="0" applyFont="1" applyBorder="1"/>
    <xf numFmtId="0" fontId="61" fillId="0" borderId="13" xfId="0" applyFont="1" applyBorder="1" applyAlignment="1">
      <alignment horizontal="right" vertical="center" indent="1"/>
    </xf>
    <xf numFmtId="0" fontId="12" fillId="0" borderId="13" xfId="2" applyFont="1" applyFill="1" applyBorder="1" applyAlignment="1">
      <alignment horizontal="center" vertical="center"/>
    </xf>
    <xf numFmtId="0" fontId="0" fillId="24" borderId="0" xfId="0" applyFill="1"/>
    <xf numFmtId="0" fontId="18" fillId="0" borderId="24" xfId="0" applyFont="1" applyFill="1" applyBorder="1" applyAlignment="1">
      <alignment vertical="center"/>
    </xf>
    <xf numFmtId="0" fontId="18" fillId="0" borderId="28" xfId="0" applyFont="1" applyFill="1" applyBorder="1" applyAlignment="1">
      <alignment vertical="center"/>
    </xf>
    <xf numFmtId="0" fontId="18" fillId="0" borderId="32" xfId="0" applyFont="1" applyFill="1" applyBorder="1" applyAlignment="1">
      <alignment vertical="center"/>
    </xf>
    <xf numFmtId="0" fontId="18" fillId="0" borderId="7" xfId="0" applyFont="1" applyFill="1" applyBorder="1" applyAlignment="1">
      <alignment vertical="center"/>
    </xf>
    <xf numFmtId="0" fontId="18" fillId="0" borderId="29" xfId="0" applyFont="1" applyFill="1" applyBorder="1" applyAlignment="1">
      <alignment vertical="center"/>
    </xf>
    <xf numFmtId="0" fontId="18" fillId="0" borderId="12" xfId="0" applyFont="1" applyFill="1" applyBorder="1" applyAlignment="1">
      <alignment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0" xfId="0" applyFont="1" applyFill="1" applyBorder="1" applyAlignment="1">
      <alignment horizontal="center" vertical="center"/>
    </xf>
    <xf numFmtId="0" fontId="6" fillId="0" borderId="0" xfId="0" applyFont="1" applyFill="1" applyAlignment="1">
      <alignment horizontal="center"/>
    </xf>
    <xf numFmtId="0" fontId="0" fillId="0" borderId="0" xfId="0" applyFill="1" applyAlignment="1">
      <alignment horizontal="center"/>
    </xf>
    <xf numFmtId="3" fontId="0" fillId="0" borderId="0" xfId="0" applyNumberFormat="1" applyFill="1" applyAlignment="1">
      <alignment horizontal="center"/>
    </xf>
    <xf numFmtId="0" fontId="0" fillId="0" borderId="0" xfId="0" applyFill="1" applyAlignment="1"/>
    <xf numFmtId="2" fontId="6" fillId="0" borderId="0" xfId="0" applyNumberFormat="1" applyFont="1" applyFill="1" applyAlignment="1">
      <alignment horizontal="center" wrapText="1"/>
    </xf>
    <xf numFmtId="2" fontId="0" fillId="0" borderId="0" xfId="0" applyNumberFormat="1" applyFill="1" applyAlignment="1">
      <alignment horizontal="center" wrapText="1"/>
    </xf>
    <xf numFmtId="3" fontId="0" fillId="22" borderId="0" xfId="0" applyNumberFormat="1" applyFill="1" applyAlignment="1">
      <alignment horizontal="center"/>
    </xf>
    <xf numFmtId="0" fontId="0" fillId="0" borderId="0" xfId="0" applyAlignment="1">
      <alignment horizontal="center"/>
    </xf>
    <xf numFmtId="0" fontId="0" fillId="23" borderId="0" xfId="0" applyFill="1" applyAlignment="1">
      <alignment horizontal="center"/>
    </xf>
    <xf numFmtId="0" fontId="54" fillId="22" borderId="0" xfId="0" applyFont="1" applyFill="1" applyAlignment="1">
      <alignment horizontal="center"/>
    </xf>
    <xf numFmtId="0" fontId="53" fillId="0" borderId="0" xfId="0" applyFont="1" applyAlignment="1">
      <alignment horizontal="center"/>
    </xf>
  </cellXfs>
  <cellStyles count="5">
    <cellStyle name="Bra" xfId="1" builtinId="26"/>
    <cellStyle name="Normal" xfId="0" builtinId="0"/>
    <cellStyle name="Normal 2" xfId="2"/>
    <cellStyle name="Normal 3"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Ackumulerad nytta/kostnad</a:t>
            </a:r>
            <a:r>
              <a:rPr lang="en-US" baseline="0"/>
              <a:t> i mkr för UA1</a:t>
            </a:r>
          </a:p>
          <a:p>
            <a:pPr>
              <a:defRPr/>
            </a:pPr>
            <a:r>
              <a:rPr lang="en-US" sz="1200" baseline="0"/>
              <a:t>Tolkning: Vid positiva värden är reducering av vidmakthållande bättre än JA</a:t>
            </a:r>
            <a:endParaRPr lang="en-US" sz="1200"/>
          </a:p>
        </c:rich>
      </c:tx>
      <c:overlay val="0"/>
    </c:title>
    <c:autoTitleDeleted val="0"/>
    <c:plotArea>
      <c:layout/>
      <c:lineChart>
        <c:grouping val="standard"/>
        <c:varyColors val="0"/>
        <c:ser>
          <c:idx val="0"/>
          <c:order val="0"/>
          <c:marker>
            <c:symbol val="none"/>
          </c:marker>
          <c:cat>
            <c:numRef>
              <c:f>'Resultat UA1'!$B$6:$AP$6</c:f>
              <c:numCache>
                <c:formatCode>General</c:formatCode>
                <c:ptCount val="4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numCache>
            </c:numRef>
          </c:cat>
          <c:val>
            <c:numRef>
              <c:f>'Resultat UA1'!$B$10:$AP$10</c:f>
              <c:numCache>
                <c:formatCode>0.00</c:formatCode>
                <c:ptCount val="41"/>
                <c:pt idx="0">
                  <c:v>9.3796420764049273</c:v>
                </c:pt>
                <c:pt idx="1">
                  <c:v>9.6978760499416516</c:v>
                </c:pt>
                <c:pt idx="2">
                  <c:v>18.358883500689871</c:v>
                </c:pt>
                <c:pt idx="3">
                  <c:v>19.463912239423784</c:v>
                </c:pt>
                <c:pt idx="4">
                  <c:v>19.613087325289737</c:v>
                </c:pt>
                <c:pt idx="5">
                  <c:v>18.86871137534682</c:v>
                </c:pt>
                <c:pt idx="6">
                  <c:v>18.103484461329927</c:v>
                </c:pt>
                <c:pt idx="7">
                  <c:v>25.178531369175783</c:v>
                </c:pt>
                <c:pt idx="8">
                  <c:v>24.375206531196238</c:v>
                </c:pt>
                <c:pt idx="9">
                  <c:v>23.553957534156147</c:v>
                </c:pt>
                <c:pt idx="10">
                  <c:v>-48.175969743054402</c:v>
                </c:pt>
                <c:pt idx="11">
                  <c:v>-49.029724991566951</c:v>
                </c:pt>
                <c:pt idx="12">
                  <c:v>-49.898140594488744</c:v>
                </c:pt>
                <c:pt idx="13">
                  <c:v>13.160210231800455</c:v>
                </c:pt>
                <c:pt idx="14">
                  <c:v>12.265471950624523</c:v>
                </c:pt>
                <c:pt idx="15">
                  <c:v>11.358999502772512</c:v>
                </c:pt>
                <c:pt idx="16">
                  <c:v>10.441698145494044</c:v>
                </c:pt>
                <c:pt idx="17">
                  <c:v>9.5144397374250502</c:v>
                </c:pt>
                <c:pt idx="18">
                  <c:v>8.5780637078116371</c:v>
                </c:pt>
                <c:pt idx="19">
                  <c:v>7.633378003868458</c:v>
                </c:pt>
                <c:pt idx="20">
                  <c:v>6.6811600164896632</c:v>
                </c:pt>
                <c:pt idx="21">
                  <c:v>5.7221574845452565</c:v>
                </c:pt>
                <c:pt idx="22">
                  <c:v>4.7570893780105052</c:v>
                </c:pt>
                <c:pt idx="23">
                  <c:v>3.7866467601879563</c:v>
                </c:pt>
                <c:pt idx="24">
                  <c:v>2.8114936292933663</c:v>
                </c:pt>
                <c:pt idx="25">
                  <c:v>1.8322677396866638</c:v>
                </c:pt>
                <c:pt idx="26">
                  <c:v>0.8495814030376394</c:v>
                </c:pt>
                <c:pt idx="27">
                  <c:v>-0.13597773027534288</c:v>
                </c:pt>
                <c:pt idx="28">
                  <c:v>-1.123845909229459</c:v>
                </c:pt>
                <c:pt idx="29">
                  <c:v>-2.113482539373706</c:v>
                </c:pt>
                <c:pt idx="30">
                  <c:v>-3.1043694588822603</c:v>
                </c:pt>
                <c:pt idx="31">
                  <c:v>-4.0960102331251278</c:v>
                </c:pt>
                <c:pt idx="32">
                  <c:v>-5.0879294674336819</c:v>
                </c:pt>
                <c:pt idx="33">
                  <c:v>-6.0796721377352867</c:v>
                </c:pt>
                <c:pt idx="34">
                  <c:v>-7.0708029387299547</c:v>
                </c:pt>
                <c:pt idx="35">
                  <c:v>-8.0609056492801159</c:v>
                </c:pt>
                <c:pt idx="36">
                  <c:v>-9.0495825146842321</c:v>
                </c:pt>
                <c:pt idx="37">
                  <c:v>-10.036453645504054</c:v>
                </c:pt>
                <c:pt idx="38">
                  <c:v>-11.021156432617147</c:v>
                </c:pt>
                <c:pt idx="39">
                  <c:v>-12.00334497816462</c:v>
                </c:pt>
                <c:pt idx="40">
                  <c:v>-12.999764637931136</c:v>
                </c:pt>
              </c:numCache>
            </c:numRef>
          </c:val>
          <c:smooth val="0"/>
          <c:extLst>
            <c:ext xmlns:c16="http://schemas.microsoft.com/office/drawing/2014/chart" uri="{C3380CC4-5D6E-409C-BE32-E72D297353CC}">
              <c16:uniqueId val="{00000000-ED94-4FDA-8B02-D08877AB5BC2}"/>
            </c:ext>
          </c:extLst>
        </c:ser>
        <c:dLbls>
          <c:showLegendKey val="0"/>
          <c:showVal val="0"/>
          <c:showCatName val="0"/>
          <c:showSerName val="0"/>
          <c:showPercent val="0"/>
          <c:showBubbleSize val="0"/>
        </c:dLbls>
        <c:smooth val="0"/>
        <c:axId val="508783136"/>
        <c:axId val="508781960"/>
      </c:lineChart>
      <c:catAx>
        <c:axId val="508783136"/>
        <c:scaling>
          <c:orientation val="minMax"/>
        </c:scaling>
        <c:delete val="0"/>
        <c:axPos val="b"/>
        <c:numFmt formatCode="General" sourceLinked="1"/>
        <c:majorTickMark val="out"/>
        <c:minorTickMark val="none"/>
        <c:tickLblPos val="nextTo"/>
        <c:crossAx val="508781960"/>
        <c:crosses val="autoZero"/>
        <c:auto val="1"/>
        <c:lblAlgn val="ctr"/>
        <c:lblOffset val="100"/>
        <c:tickLblSkip val="5"/>
        <c:noMultiLvlLbl val="0"/>
      </c:catAx>
      <c:valAx>
        <c:axId val="508781960"/>
        <c:scaling>
          <c:orientation val="minMax"/>
        </c:scaling>
        <c:delete val="0"/>
        <c:axPos val="l"/>
        <c:majorGridlines/>
        <c:numFmt formatCode="0.00" sourceLinked="1"/>
        <c:majorTickMark val="out"/>
        <c:minorTickMark val="none"/>
        <c:tickLblPos val="nextTo"/>
        <c:crossAx val="508783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Ackumulerad nytta/kostnad</a:t>
            </a:r>
            <a:r>
              <a:rPr lang="en-US" baseline="0"/>
              <a:t> i mkr för UA1</a:t>
            </a:r>
          </a:p>
          <a:p>
            <a:pPr>
              <a:defRPr/>
            </a:pPr>
            <a:r>
              <a:rPr lang="en-US" sz="1200" baseline="0"/>
              <a:t>Tolkning: Vid positiva värden är reducering av vidmakthållande bättre än JA</a:t>
            </a:r>
            <a:endParaRPr lang="en-US" sz="1200"/>
          </a:p>
        </c:rich>
      </c:tx>
      <c:overlay val="0"/>
    </c:title>
    <c:autoTitleDeleted val="0"/>
    <c:plotArea>
      <c:layout/>
      <c:lineChart>
        <c:grouping val="standard"/>
        <c:varyColors val="0"/>
        <c:ser>
          <c:idx val="0"/>
          <c:order val="0"/>
          <c:tx>
            <c:strRef>
              <c:f>'Resultat UA2'!$A$10</c:f>
              <c:strCache>
                <c:ptCount val="1"/>
                <c:pt idx="0">
                  <c:v>Summa</c:v>
                </c:pt>
              </c:strCache>
            </c:strRef>
          </c:tx>
          <c:marker>
            <c:symbol val="none"/>
          </c:marker>
          <c:cat>
            <c:numRef>
              <c:f>'Resultat UA1'!$B$6:$AP$6</c:f>
              <c:numCache>
                <c:formatCode>General</c:formatCode>
                <c:ptCount val="4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numCache>
            </c:numRef>
          </c:cat>
          <c:val>
            <c:numRef>
              <c:f>'Resultat UA2'!$B$10:$AP$10</c:f>
              <c:numCache>
                <c:formatCode>0.00</c:formatCode>
                <c:ptCount val="41"/>
                <c:pt idx="0">
                  <c:v>15.382509192597059</c:v>
                </c:pt>
                <c:pt idx="1">
                  <c:v>22.522187041523029</c:v>
                </c:pt>
                <c:pt idx="2">
                  <c:v>36.900987082635801</c:v>
                </c:pt>
                <c:pt idx="3">
                  <c:v>43.590552623499953</c:v>
                </c:pt>
                <c:pt idx="4">
                  <c:v>50.066507314295009</c:v>
                </c:pt>
                <c:pt idx="5">
                  <c:v>54.65217643453137</c:v>
                </c:pt>
                <c:pt idx="6">
                  <c:v>59.095466201962807</c:v>
                </c:pt>
                <c:pt idx="7">
                  <c:v>71.261127911670812</c:v>
                </c:pt>
                <c:pt idx="8">
                  <c:v>75.434010641707317</c:v>
                </c:pt>
                <c:pt idx="9">
                  <c:v>79.476160635322827</c:v>
                </c:pt>
                <c:pt idx="10">
                  <c:v>83.392050929445816</c:v>
                </c:pt>
                <c:pt idx="11">
                  <c:v>87.185994060694611</c:v>
                </c:pt>
                <c:pt idx="12">
                  <c:v>90.862148000022188</c:v>
                </c:pt>
                <c:pt idx="13">
                  <c:v>158.36493715605948</c:v>
                </c:pt>
                <c:pt idx="14">
                  <c:v>161.81739669407798</c:v>
                </c:pt>
                <c:pt idx="15">
                  <c:v>165.16366958349491</c:v>
                </c:pt>
                <c:pt idx="16">
                  <c:v>168.40735050926128</c:v>
                </c:pt>
                <c:pt idx="17">
                  <c:v>171.55190605940231</c:v>
                </c:pt>
                <c:pt idx="18">
                  <c:v>174.60067943432281</c:v>
                </c:pt>
                <c:pt idx="19">
                  <c:v>177.55689497864648</c:v>
                </c:pt>
                <c:pt idx="20">
                  <c:v>180.42366254243808</c:v>
                </c:pt>
                <c:pt idx="21">
                  <c:v>183.20398167838854</c:v>
                </c:pt>
                <c:pt idx="22">
                  <c:v>185.90074568128142</c:v>
                </c:pt>
                <c:pt idx="23">
                  <c:v>188.51674547581024</c:v>
                </c:pt>
                <c:pt idx="24">
                  <c:v>191.05467335857676</c:v>
                </c:pt>
                <c:pt idx="25">
                  <c:v>193.51712659987064</c:v>
                </c:pt>
                <c:pt idx="26">
                  <c:v>195.90661091061017</c:v>
                </c:pt>
                <c:pt idx="27">
                  <c:v>198.22554377961279</c:v>
                </c:pt>
                <c:pt idx="28">
                  <c:v>200.47625768616024</c:v>
                </c:pt>
                <c:pt idx="29">
                  <c:v>202.66100319262958</c:v>
                </c:pt>
                <c:pt idx="30">
                  <c:v>204.78195192177299</c:v>
                </c:pt>
                <c:pt idx="31">
                  <c:v>206.84119942305063</c:v>
                </c:pt>
                <c:pt idx="32">
                  <c:v>208.8407679322487</c:v>
                </c:pt>
                <c:pt idx="33">
                  <c:v>210.78260902844866</c:v>
                </c:pt>
                <c:pt idx="34">
                  <c:v>212.6686061922556</c:v>
                </c:pt>
                <c:pt idx="35">
                  <c:v>214.50057726904097</c:v>
                </c:pt>
                <c:pt idx="36">
                  <c:v>216.28027684080917</c:v>
                </c:pt>
                <c:pt idx="37">
                  <c:v>218.00939851015568</c:v>
                </c:pt>
                <c:pt idx="38">
                  <c:v>219.68957709965193</c:v>
                </c:pt>
                <c:pt idx="39">
                  <c:v>221.32239076985934</c:v>
                </c:pt>
                <c:pt idx="40">
                  <c:v>222.84153012024342</c:v>
                </c:pt>
              </c:numCache>
            </c:numRef>
          </c:val>
          <c:smooth val="0"/>
          <c:extLst>
            <c:ext xmlns:c16="http://schemas.microsoft.com/office/drawing/2014/chart" uri="{C3380CC4-5D6E-409C-BE32-E72D297353CC}">
              <c16:uniqueId val="{00000000-4023-4E21-930D-B46CD3BC4401}"/>
            </c:ext>
          </c:extLst>
        </c:ser>
        <c:dLbls>
          <c:showLegendKey val="0"/>
          <c:showVal val="0"/>
          <c:showCatName val="0"/>
          <c:showSerName val="0"/>
          <c:showPercent val="0"/>
          <c:showBubbleSize val="0"/>
        </c:dLbls>
        <c:smooth val="0"/>
        <c:axId val="508784704"/>
        <c:axId val="508785096"/>
      </c:lineChart>
      <c:catAx>
        <c:axId val="508784704"/>
        <c:scaling>
          <c:orientation val="minMax"/>
        </c:scaling>
        <c:delete val="0"/>
        <c:axPos val="b"/>
        <c:numFmt formatCode="General" sourceLinked="1"/>
        <c:majorTickMark val="out"/>
        <c:minorTickMark val="none"/>
        <c:tickLblPos val="nextTo"/>
        <c:crossAx val="508785096"/>
        <c:crosses val="autoZero"/>
        <c:auto val="1"/>
        <c:lblAlgn val="ctr"/>
        <c:lblOffset val="100"/>
        <c:tickLblSkip val="5"/>
        <c:noMultiLvlLbl val="0"/>
      </c:catAx>
      <c:valAx>
        <c:axId val="508785096"/>
        <c:scaling>
          <c:orientation val="minMax"/>
        </c:scaling>
        <c:delete val="0"/>
        <c:axPos val="l"/>
        <c:majorGridlines/>
        <c:numFmt formatCode="0.00" sourceLinked="1"/>
        <c:majorTickMark val="out"/>
        <c:minorTickMark val="none"/>
        <c:tickLblPos val="nextTo"/>
        <c:crossAx val="5087847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333375</xdr:colOff>
      <xdr:row>27</xdr:row>
      <xdr:rowOff>114300</xdr:rowOff>
    </xdr:from>
    <xdr:to>
      <xdr:col>2</xdr:col>
      <xdr:colOff>561976</xdr:colOff>
      <xdr:row>28</xdr:row>
      <xdr:rowOff>123825</xdr:rowOff>
    </xdr:to>
    <xdr:cxnSp macro="">
      <xdr:nvCxnSpPr>
        <xdr:cNvPr id="2" name="Rak pil 1"/>
        <xdr:cNvCxnSpPr/>
      </xdr:nvCxnSpPr>
      <xdr:spPr>
        <a:xfrm flipH="1">
          <a:off x="2228850" y="8991600"/>
          <a:ext cx="1076326"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20</xdr:row>
      <xdr:rowOff>0</xdr:rowOff>
    </xdr:from>
    <xdr:to>
      <xdr:col>2</xdr:col>
      <xdr:colOff>447675</xdr:colOff>
      <xdr:row>20</xdr:row>
      <xdr:rowOff>57150</xdr:rowOff>
    </xdr:to>
    <xdr:cxnSp macro="">
      <xdr:nvCxnSpPr>
        <xdr:cNvPr id="3" name="Rak pil 2"/>
        <xdr:cNvCxnSpPr/>
      </xdr:nvCxnSpPr>
      <xdr:spPr>
        <a:xfrm flipH="1">
          <a:off x="2152650" y="7715250"/>
          <a:ext cx="103822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504825</xdr:colOff>
      <xdr:row>31</xdr:row>
      <xdr:rowOff>95250</xdr:rowOff>
    </xdr:from>
    <xdr:to>
      <xdr:col>2</xdr:col>
      <xdr:colOff>428625</xdr:colOff>
      <xdr:row>31</xdr:row>
      <xdr:rowOff>95250</xdr:rowOff>
    </xdr:to>
    <xdr:cxnSp macro="">
      <xdr:nvCxnSpPr>
        <xdr:cNvPr id="4" name="Rak pil 3"/>
        <xdr:cNvCxnSpPr/>
      </xdr:nvCxnSpPr>
      <xdr:spPr>
        <a:xfrm flipH="1">
          <a:off x="2400300" y="10544175"/>
          <a:ext cx="771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533400</xdr:colOff>
      <xdr:row>28</xdr:row>
      <xdr:rowOff>438150</xdr:rowOff>
    </xdr:from>
    <xdr:to>
      <xdr:col>5</xdr:col>
      <xdr:colOff>485776</xdr:colOff>
      <xdr:row>29</xdr:row>
      <xdr:rowOff>95250</xdr:rowOff>
    </xdr:to>
    <xdr:cxnSp macro="">
      <xdr:nvCxnSpPr>
        <xdr:cNvPr id="5" name="Rak pil 4"/>
        <xdr:cNvCxnSpPr/>
      </xdr:nvCxnSpPr>
      <xdr:spPr>
        <a:xfrm flipH="1" flipV="1">
          <a:off x="2428875" y="9477375"/>
          <a:ext cx="3648076" cy="742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607219</xdr:colOff>
      <xdr:row>14</xdr:row>
      <xdr:rowOff>38099</xdr:rowOff>
    </xdr:from>
    <xdr:to>
      <xdr:col>1</xdr:col>
      <xdr:colOff>11906</xdr:colOff>
      <xdr:row>38</xdr:row>
      <xdr:rowOff>142875</xdr:rowOff>
    </xdr:to>
    <xdr:grpSp>
      <xdr:nvGrpSpPr>
        <xdr:cNvPr id="7" name="Grupp 6"/>
        <xdr:cNvGrpSpPr/>
      </xdr:nvGrpSpPr>
      <xdr:grpSpPr>
        <a:xfrm>
          <a:off x="607219" y="2867024"/>
          <a:ext cx="1300162" cy="5753101"/>
          <a:chOff x="1" y="0"/>
          <a:chExt cx="930081" cy="4245555"/>
        </a:xfrm>
      </xdr:grpSpPr>
      <xdr:cxnSp macro="">
        <xdr:nvCxnSpPr>
          <xdr:cNvPr id="8" name="Rak 7"/>
          <xdr:cNvCxnSpPr/>
        </xdr:nvCxnSpPr>
        <xdr:spPr>
          <a:xfrm flipH="1">
            <a:off x="1" y="2091193"/>
            <a:ext cx="691764" cy="516036"/>
          </a:xfrm>
          <a:prstGeom prst="line">
            <a:avLst/>
          </a:prstGeom>
        </xdr:spPr>
        <xdr:style>
          <a:lnRef idx="3">
            <a:schemeClr val="dk1"/>
          </a:lnRef>
          <a:fillRef idx="0">
            <a:schemeClr val="dk1"/>
          </a:fillRef>
          <a:effectRef idx="2">
            <a:schemeClr val="dk1"/>
          </a:effectRef>
          <a:fontRef idx="minor">
            <a:schemeClr val="tx1"/>
          </a:fontRef>
        </xdr:style>
      </xdr:cxnSp>
      <xdr:grpSp>
        <xdr:nvGrpSpPr>
          <xdr:cNvPr id="9" name="Grupp 8"/>
          <xdr:cNvGrpSpPr/>
        </xdr:nvGrpSpPr>
        <xdr:grpSpPr>
          <a:xfrm>
            <a:off x="437322" y="0"/>
            <a:ext cx="492760" cy="4245555"/>
            <a:chOff x="0" y="0"/>
            <a:chExt cx="492760" cy="4245555"/>
          </a:xfrm>
        </xdr:grpSpPr>
        <xdr:cxnSp macro="">
          <xdr:nvCxnSpPr>
            <xdr:cNvPr id="10" name="Rak 9"/>
            <xdr:cNvCxnSpPr/>
          </xdr:nvCxnSpPr>
          <xdr:spPr>
            <a:xfrm>
              <a:off x="254442" y="2043485"/>
              <a:ext cx="0" cy="21621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Ellips 10"/>
            <xdr:cNvSpPr/>
          </xdr:nvSpPr>
          <xdr:spPr>
            <a:xfrm>
              <a:off x="222637" y="253646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2" name="Ellips 11"/>
            <xdr:cNvSpPr/>
          </xdr:nvSpPr>
          <xdr:spPr>
            <a:xfrm>
              <a:off x="222637" y="296583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3" name="Ellips 12"/>
            <xdr:cNvSpPr/>
          </xdr:nvSpPr>
          <xdr:spPr>
            <a:xfrm>
              <a:off x="222637" y="332364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4" name="Ellips 13"/>
            <xdr:cNvSpPr/>
          </xdr:nvSpPr>
          <xdr:spPr>
            <a:xfrm>
              <a:off x="222637" y="3641697"/>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5" name="Ellips 14"/>
            <xdr:cNvSpPr/>
          </xdr:nvSpPr>
          <xdr:spPr>
            <a:xfrm>
              <a:off x="222637" y="417443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xnSp macro="">
          <xdr:nvCxnSpPr>
            <xdr:cNvPr id="16" name="Rak 15"/>
            <xdr:cNvCxnSpPr/>
          </xdr:nvCxnSpPr>
          <xdr:spPr>
            <a:xfrm>
              <a:off x="246491" y="0"/>
              <a:ext cx="0" cy="2162175"/>
            </a:xfrm>
            <a:prstGeom prst="line">
              <a:avLst/>
            </a:prstGeom>
          </xdr:spPr>
          <xdr:style>
            <a:lnRef idx="3">
              <a:schemeClr val="dk1"/>
            </a:lnRef>
            <a:fillRef idx="0">
              <a:schemeClr val="dk1"/>
            </a:fillRef>
            <a:effectRef idx="2">
              <a:schemeClr val="dk1"/>
            </a:effectRef>
            <a:fontRef idx="minor">
              <a:schemeClr val="tx1"/>
            </a:fontRef>
          </xdr:style>
        </xdr:cxnSp>
        <xdr:sp macro="" textlink="">
          <xdr:nvSpPr>
            <xdr:cNvPr id="17" name="Ellips 16"/>
            <xdr:cNvSpPr/>
          </xdr:nvSpPr>
          <xdr:spPr>
            <a:xfrm>
              <a:off x="135173" y="1956021"/>
              <a:ext cx="254000" cy="25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8" name="Ellips 17"/>
            <xdr:cNvSpPr/>
          </xdr:nvSpPr>
          <xdr:spPr>
            <a:xfrm>
              <a:off x="0" y="0"/>
              <a:ext cx="492760" cy="40513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13</xdr:row>
      <xdr:rowOff>95250</xdr:rowOff>
    </xdr:from>
    <xdr:to>
      <xdr:col>18</xdr:col>
      <xdr:colOff>361950</xdr:colOff>
      <xdr:row>41</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44</xdr:row>
      <xdr:rowOff>114300</xdr:rowOff>
    </xdr:from>
    <xdr:to>
      <xdr:col>2</xdr:col>
      <xdr:colOff>561976</xdr:colOff>
      <xdr:row>45</xdr:row>
      <xdr:rowOff>123825</xdr:rowOff>
    </xdr:to>
    <xdr:cxnSp macro="">
      <xdr:nvCxnSpPr>
        <xdr:cNvPr id="2" name="Rak pil 1"/>
        <xdr:cNvCxnSpPr/>
      </xdr:nvCxnSpPr>
      <xdr:spPr>
        <a:xfrm flipH="1">
          <a:off x="2152650" y="7753350"/>
          <a:ext cx="1076326"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37</xdr:row>
      <xdr:rowOff>0</xdr:rowOff>
    </xdr:from>
    <xdr:to>
      <xdr:col>2</xdr:col>
      <xdr:colOff>447675</xdr:colOff>
      <xdr:row>37</xdr:row>
      <xdr:rowOff>57150</xdr:rowOff>
    </xdr:to>
    <xdr:cxnSp macro="">
      <xdr:nvCxnSpPr>
        <xdr:cNvPr id="3" name="Rak pil 2"/>
        <xdr:cNvCxnSpPr/>
      </xdr:nvCxnSpPr>
      <xdr:spPr>
        <a:xfrm flipH="1">
          <a:off x="2076450" y="6477000"/>
          <a:ext cx="103822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504825</xdr:colOff>
      <xdr:row>48</xdr:row>
      <xdr:rowOff>95250</xdr:rowOff>
    </xdr:from>
    <xdr:to>
      <xdr:col>2</xdr:col>
      <xdr:colOff>428625</xdr:colOff>
      <xdr:row>48</xdr:row>
      <xdr:rowOff>95250</xdr:rowOff>
    </xdr:to>
    <xdr:cxnSp macro="">
      <xdr:nvCxnSpPr>
        <xdr:cNvPr id="4" name="Rak pil 3"/>
        <xdr:cNvCxnSpPr/>
      </xdr:nvCxnSpPr>
      <xdr:spPr>
        <a:xfrm flipH="1">
          <a:off x="2324100" y="9305925"/>
          <a:ext cx="771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533400</xdr:colOff>
      <xdr:row>45</xdr:row>
      <xdr:rowOff>438150</xdr:rowOff>
    </xdr:from>
    <xdr:to>
      <xdr:col>5</xdr:col>
      <xdr:colOff>485776</xdr:colOff>
      <xdr:row>46</xdr:row>
      <xdr:rowOff>95250</xdr:rowOff>
    </xdr:to>
    <xdr:cxnSp macro="">
      <xdr:nvCxnSpPr>
        <xdr:cNvPr id="5" name="Rak pil 4"/>
        <xdr:cNvCxnSpPr/>
      </xdr:nvCxnSpPr>
      <xdr:spPr>
        <a:xfrm flipH="1" flipV="1">
          <a:off x="2352675" y="8239125"/>
          <a:ext cx="3057526" cy="742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42</xdr:row>
      <xdr:rowOff>76200</xdr:rowOff>
    </xdr:from>
    <xdr:to>
      <xdr:col>6</xdr:col>
      <xdr:colOff>1409700</xdr:colOff>
      <xdr:row>45</xdr:row>
      <xdr:rowOff>209550</xdr:rowOff>
    </xdr:to>
    <xdr:cxnSp macro="">
      <xdr:nvCxnSpPr>
        <xdr:cNvPr id="6" name="Rak pil 5"/>
        <xdr:cNvCxnSpPr/>
      </xdr:nvCxnSpPr>
      <xdr:spPr>
        <a:xfrm flipH="1">
          <a:off x="2305050" y="7391400"/>
          <a:ext cx="4733925"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607219</xdr:colOff>
      <xdr:row>31</xdr:row>
      <xdr:rowOff>38099</xdr:rowOff>
    </xdr:from>
    <xdr:to>
      <xdr:col>1</xdr:col>
      <xdr:colOff>11906</xdr:colOff>
      <xdr:row>55</xdr:row>
      <xdr:rowOff>142875</xdr:rowOff>
    </xdr:to>
    <xdr:grpSp>
      <xdr:nvGrpSpPr>
        <xdr:cNvPr id="7" name="Grupp 6"/>
        <xdr:cNvGrpSpPr/>
      </xdr:nvGrpSpPr>
      <xdr:grpSpPr>
        <a:xfrm>
          <a:off x="607219" y="7366517"/>
          <a:ext cx="1377723" cy="5022787"/>
          <a:chOff x="1" y="0"/>
          <a:chExt cx="930081" cy="4245555"/>
        </a:xfrm>
      </xdr:grpSpPr>
      <xdr:cxnSp macro="">
        <xdr:nvCxnSpPr>
          <xdr:cNvPr id="8" name="Rak 7"/>
          <xdr:cNvCxnSpPr/>
        </xdr:nvCxnSpPr>
        <xdr:spPr>
          <a:xfrm flipH="1">
            <a:off x="1" y="2091193"/>
            <a:ext cx="691764" cy="516036"/>
          </a:xfrm>
          <a:prstGeom prst="line">
            <a:avLst/>
          </a:prstGeom>
        </xdr:spPr>
        <xdr:style>
          <a:lnRef idx="3">
            <a:schemeClr val="dk1"/>
          </a:lnRef>
          <a:fillRef idx="0">
            <a:schemeClr val="dk1"/>
          </a:fillRef>
          <a:effectRef idx="2">
            <a:schemeClr val="dk1"/>
          </a:effectRef>
          <a:fontRef idx="minor">
            <a:schemeClr val="tx1"/>
          </a:fontRef>
        </xdr:style>
      </xdr:cxnSp>
      <xdr:grpSp>
        <xdr:nvGrpSpPr>
          <xdr:cNvPr id="9" name="Grupp 8"/>
          <xdr:cNvGrpSpPr/>
        </xdr:nvGrpSpPr>
        <xdr:grpSpPr>
          <a:xfrm>
            <a:off x="437322" y="0"/>
            <a:ext cx="492760" cy="4245555"/>
            <a:chOff x="0" y="0"/>
            <a:chExt cx="492760" cy="4245555"/>
          </a:xfrm>
        </xdr:grpSpPr>
        <xdr:cxnSp macro="">
          <xdr:nvCxnSpPr>
            <xdr:cNvPr id="10" name="Rak 9"/>
            <xdr:cNvCxnSpPr/>
          </xdr:nvCxnSpPr>
          <xdr:spPr>
            <a:xfrm>
              <a:off x="254442" y="2043485"/>
              <a:ext cx="0" cy="21621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Ellips 10"/>
            <xdr:cNvSpPr/>
          </xdr:nvSpPr>
          <xdr:spPr>
            <a:xfrm>
              <a:off x="222637" y="253646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2" name="Ellips 11"/>
            <xdr:cNvSpPr/>
          </xdr:nvSpPr>
          <xdr:spPr>
            <a:xfrm>
              <a:off x="222637" y="296583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3" name="Ellips 12"/>
            <xdr:cNvSpPr/>
          </xdr:nvSpPr>
          <xdr:spPr>
            <a:xfrm>
              <a:off x="222637" y="332364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4" name="Ellips 13"/>
            <xdr:cNvSpPr/>
          </xdr:nvSpPr>
          <xdr:spPr>
            <a:xfrm>
              <a:off x="222637" y="3641697"/>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5" name="Ellips 14"/>
            <xdr:cNvSpPr/>
          </xdr:nvSpPr>
          <xdr:spPr>
            <a:xfrm>
              <a:off x="222637" y="417443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xnSp macro="">
          <xdr:nvCxnSpPr>
            <xdr:cNvPr id="16" name="Rak 15"/>
            <xdr:cNvCxnSpPr/>
          </xdr:nvCxnSpPr>
          <xdr:spPr>
            <a:xfrm>
              <a:off x="246491" y="0"/>
              <a:ext cx="0" cy="2162175"/>
            </a:xfrm>
            <a:prstGeom prst="line">
              <a:avLst/>
            </a:prstGeom>
          </xdr:spPr>
          <xdr:style>
            <a:lnRef idx="3">
              <a:schemeClr val="dk1"/>
            </a:lnRef>
            <a:fillRef idx="0">
              <a:schemeClr val="dk1"/>
            </a:fillRef>
            <a:effectRef idx="2">
              <a:schemeClr val="dk1"/>
            </a:effectRef>
            <a:fontRef idx="minor">
              <a:schemeClr val="tx1"/>
            </a:fontRef>
          </xdr:style>
        </xdr:cxnSp>
        <xdr:sp macro="" textlink="">
          <xdr:nvSpPr>
            <xdr:cNvPr id="17" name="Ellips 16"/>
            <xdr:cNvSpPr/>
          </xdr:nvSpPr>
          <xdr:spPr>
            <a:xfrm>
              <a:off x="135173" y="1956021"/>
              <a:ext cx="254000" cy="25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18" name="Ellips 17"/>
            <xdr:cNvSpPr/>
          </xdr:nvSpPr>
          <xdr:spPr>
            <a:xfrm>
              <a:off x="0" y="0"/>
              <a:ext cx="492760" cy="40513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grpSp>
    </xdr:grpSp>
    <xdr:clientData/>
  </xdr:twoCellAnchor>
  <xdr:twoCellAnchor>
    <xdr:from>
      <xdr:col>8</xdr:col>
      <xdr:colOff>107157</xdr:colOff>
      <xdr:row>43</xdr:row>
      <xdr:rowOff>107156</xdr:rowOff>
    </xdr:from>
    <xdr:to>
      <xdr:col>9</xdr:col>
      <xdr:colOff>369094</xdr:colOff>
      <xdr:row>45</xdr:row>
      <xdr:rowOff>976313</xdr:rowOff>
    </xdr:to>
    <xdr:cxnSp macro="">
      <xdr:nvCxnSpPr>
        <xdr:cNvPr id="19" name="Rak pil 18"/>
        <xdr:cNvCxnSpPr/>
      </xdr:nvCxnSpPr>
      <xdr:spPr>
        <a:xfrm flipH="1">
          <a:off x="8460582" y="7584281"/>
          <a:ext cx="976312" cy="11930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273845</xdr:colOff>
      <xdr:row>42</xdr:row>
      <xdr:rowOff>95250</xdr:rowOff>
    </xdr:from>
    <xdr:to>
      <xdr:col>8</xdr:col>
      <xdr:colOff>666750</xdr:colOff>
      <xdr:row>42</xdr:row>
      <xdr:rowOff>95250</xdr:rowOff>
    </xdr:to>
    <xdr:cxnSp macro="">
      <xdr:nvCxnSpPr>
        <xdr:cNvPr id="20" name="Rak pil 19"/>
        <xdr:cNvCxnSpPr/>
      </xdr:nvCxnSpPr>
      <xdr:spPr>
        <a:xfrm flipH="1">
          <a:off x="8627270" y="7410450"/>
          <a:ext cx="39290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27</xdr:row>
      <xdr:rowOff>114300</xdr:rowOff>
    </xdr:from>
    <xdr:to>
      <xdr:col>2</xdr:col>
      <xdr:colOff>561976</xdr:colOff>
      <xdr:row>28</xdr:row>
      <xdr:rowOff>123825</xdr:rowOff>
    </xdr:to>
    <xdr:cxnSp macro="">
      <xdr:nvCxnSpPr>
        <xdr:cNvPr id="21" name="Rak pil 20"/>
        <xdr:cNvCxnSpPr/>
      </xdr:nvCxnSpPr>
      <xdr:spPr>
        <a:xfrm flipH="1">
          <a:off x="2228850" y="5476875"/>
          <a:ext cx="107632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20</xdr:row>
      <xdr:rowOff>0</xdr:rowOff>
    </xdr:from>
    <xdr:to>
      <xdr:col>2</xdr:col>
      <xdr:colOff>447675</xdr:colOff>
      <xdr:row>20</xdr:row>
      <xdr:rowOff>57150</xdr:rowOff>
    </xdr:to>
    <xdr:cxnSp macro="">
      <xdr:nvCxnSpPr>
        <xdr:cNvPr id="22" name="Rak pil 21"/>
        <xdr:cNvCxnSpPr/>
      </xdr:nvCxnSpPr>
      <xdr:spPr>
        <a:xfrm flipH="1">
          <a:off x="2152650" y="3981450"/>
          <a:ext cx="103822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504825</xdr:colOff>
      <xdr:row>31</xdr:row>
      <xdr:rowOff>95250</xdr:rowOff>
    </xdr:from>
    <xdr:to>
      <xdr:col>2</xdr:col>
      <xdr:colOff>428625</xdr:colOff>
      <xdr:row>31</xdr:row>
      <xdr:rowOff>95250</xdr:rowOff>
    </xdr:to>
    <xdr:cxnSp macro="">
      <xdr:nvCxnSpPr>
        <xdr:cNvPr id="23" name="Rak pil 22"/>
        <xdr:cNvCxnSpPr/>
      </xdr:nvCxnSpPr>
      <xdr:spPr>
        <a:xfrm flipH="1">
          <a:off x="2400300" y="7115175"/>
          <a:ext cx="771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533400</xdr:colOff>
      <xdr:row>28</xdr:row>
      <xdr:rowOff>438150</xdr:rowOff>
    </xdr:from>
    <xdr:to>
      <xdr:col>5</xdr:col>
      <xdr:colOff>485776</xdr:colOff>
      <xdr:row>29</xdr:row>
      <xdr:rowOff>95250</xdr:rowOff>
    </xdr:to>
    <xdr:cxnSp macro="">
      <xdr:nvCxnSpPr>
        <xdr:cNvPr id="24" name="Rak pil 23"/>
        <xdr:cNvCxnSpPr/>
      </xdr:nvCxnSpPr>
      <xdr:spPr>
        <a:xfrm flipH="1" flipV="1">
          <a:off x="2428875" y="5991225"/>
          <a:ext cx="3648076" cy="742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25</xdr:row>
      <xdr:rowOff>76200</xdr:rowOff>
    </xdr:from>
    <xdr:to>
      <xdr:col>6</xdr:col>
      <xdr:colOff>1409700</xdr:colOff>
      <xdr:row>28</xdr:row>
      <xdr:rowOff>209550</xdr:rowOff>
    </xdr:to>
    <xdr:cxnSp macro="">
      <xdr:nvCxnSpPr>
        <xdr:cNvPr id="25" name="Rak pil 24"/>
        <xdr:cNvCxnSpPr/>
      </xdr:nvCxnSpPr>
      <xdr:spPr>
        <a:xfrm flipH="1">
          <a:off x="2381250" y="5057775"/>
          <a:ext cx="6010275" cy="704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607219</xdr:colOff>
      <xdr:row>14</xdr:row>
      <xdr:rowOff>38099</xdr:rowOff>
    </xdr:from>
    <xdr:to>
      <xdr:col>1</xdr:col>
      <xdr:colOff>11906</xdr:colOff>
      <xdr:row>38</xdr:row>
      <xdr:rowOff>142875</xdr:rowOff>
    </xdr:to>
    <xdr:grpSp>
      <xdr:nvGrpSpPr>
        <xdr:cNvPr id="26" name="Grupp 25"/>
        <xdr:cNvGrpSpPr/>
      </xdr:nvGrpSpPr>
      <xdr:grpSpPr>
        <a:xfrm>
          <a:off x="607219" y="2905318"/>
          <a:ext cx="1377723" cy="5926690"/>
          <a:chOff x="1" y="0"/>
          <a:chExt cx="930081" cy="4245555"/>
        </a:xfrm>
      </xdr:grpSpPr>
      <xdr:cxnSp macro="">
        <xdr:nvCxnSpPr>
          <xdr:cNvPr id="27" name="Rak 26"/>
          <xdr:cNvCxnSpPr/>
        </xdr:nvCxnSpPr>
        <xdr:spPr>
          <a:xfrm flipH="1">
            <a:off x="1" y="2091193"/>
            <a:ext cx="691764" cy="516036"/>
          </a:xfrm>
          <a:prstGeom prst="line">
            <a:avLst/>
          </a:prstGeom>
        </xdr:spPr>
        <xdr:style>
          <a:lnRef idx="3">
            <a:schemeClr val="dk1"/>
          </a:lnRef>
          <a:fillRef idx="0">
            <a:schemeClr val="dk1"/>
          </a:fillRef>
          <a:effectRef idx="2">
            <a:schemeClr val="dk1"/>
          </a:effectRef>
          <a:fontRef idx="minor">
            <a:schemeClr val="tx1"/>
          </a:fontRef>
        </xdr:style>
      </xdr:cxnSp>
      <xdr:grpSp>
        <xdr:nvGrpSpPr>
          <xdr:cNvPr id="28" name="Grupp 27"/>
          <xdr:cNvGrpSpPr/>
        </xdr:nvGrpSpPr>
        <xdr:grpSpPr>
          <a:xfrm>
            <a:off x="437322" y="0"/>
            <a:ext cx="492760" cy="4245555"/>
            <a:chOff x="0" y="0"/>
            <a:chExt cx="492760" cy="4245555"/>
          </a:xfrm>
        </xdr:grpSpPr>
        <xdr:cxnSp macro="">
          <xdr:nvCxnSpPr>
            <xdr:cNvPr id="29" name="Rak 28"/>
            <xdr:cNvCxnSpPr/>
          </xdr:nvCxnSpPr>
          <xdr:spPr>
            <a:xfrm>
              <a:off x="254442" y="2043485"/>
              <a:ext cx="0" cy="21621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 name="Ellips 29"/>
            <xdr:cNvSpPr/>
          </xdr:nvSpPr>
          <xdr:spPr>
            <a:xfrm>
              <a:off x="222637" y="253646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31" name="Ellips 30"/>
            <xdr:cNvSpPr/>
          </xdr:nvSpPr>
          <xdr:spPr>
            <a:xfrm>
              <a:off x="222637" y="2965836"/>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32" name="Ellips 31"/>
            <xdr:cNvSpPr/>
          </xdr:nvSpPr>
          <xdr:spPr>
            <a:xfrm>
              <a:off x="222637" y="332364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33" name="Ellips 32"/>
            <xdr:cNvSpPr/>
          </xdr:nvSpPr>
          <xdr:spPr>
            <a:xfrm>
              <a:off x="222637" y="3641697"/>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34" name="Ellips 33"/>
            <xdr:cNvSpPr/>
          </xdr:nvSpPr>
          <xdr:spPr>
            <a:xfrm>
              <a:off x="222637" y="4174435"/>
              <a:ext cx="71120" cy="711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xnSp macro="">
          <xdr:nvCxnSpPr>
            <xdr:cNvPr id="35" name="Rak 34"/>
            <xdr:cNvCxnSpPr/>
          </xdr:nvCxnSpPr>
          <xdr:spPr>
            <a:xfrm>
              <a:off x="246491" y="0"/>
              <a:ext cx="0" cy="2162175"/>
            </a:xfrm>
            <a:prstGeom prst="line">
              <a:avLst/>
            </a:prstGeom>
          </xdr:spPr>
          <xdr:style>
            <a:lnRef idx="3">
              <a:schemeClr val="dk1"/>
            </a:lnRef>
            <a:fillRef idx="0">
              <a:schemeClr val="dk1"/>
            </a:fillRef>
            <a:effectRef idx="2">
              <a:schemeClr val="dk1"/>
            </a:effectRef>
            <a:fontRef idx="minor">
              <a:schemeClr val="tx1"/>
            </a:fontRef>
          </xdr:style>
        </xdr:cxnSp>
        <xdr:sp macro="" textlink="">
          <xdr:nvSpPr>
            <xdr:cNvPr id="36" name="Ellips 35"/>
            <xdr:cNvSpPr/>
          </xdr:nvSpPr>
          <xdr:spPr>
            <a:xfrm>
              <a:off x="135173" y="1956021"/>
              <a:ext cx="254000" cy="254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sp macro="" textlink="">
          <xdr:nvSpPr>
            <xdr:cNvPr id="37" name="Ellips 36"/>
            <xdr:cNvSpPr/>
          </xdr:nvSpPr>
          <xdr:spPr>
            <a:xfrm>
              <a:off x="0" y="0"/>
              <a:ext cx="492760" cy="40513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grpSp>
    </xdr:grpSp>
    <xdr:clientData/>
  </xdr:twoCellAnchor>
  <xdr:twoCellAnchor>
    <xdr:from>
      <xdr:col>8</xdr:col>
      <xdr:colOff>58560</xdr:colOff>
      <xdr:row>26</xdr:row>
      <xdr:rowOff>77755</xdr:rowOff>
    </xdr:from>
    <xdr:to>
      <xdr:col>9</xdr:col>
      <xdr:colOff>583163</xdr:colOff>
      <xdr:row>28</xdr:row>
      <xdr:rowOff>908277</xdr:rowOff>
    </xdr:to>
    <xdr:cxnSp macro="">
      <xdr:nvCxnSpPr>
        <xdr:cNvPr id="38" name="Rak pil 37"/>
        <xdr:cNvCxnSpPr/>
      </xdr:nvCxnSpPr>
      <xdr:spPr>
        <a:xfrm flipH="1">
          <a:off x="12198075" y="5326224"/>
          <a:ext cx="1243838" cy="1433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273845</xdr:colOff>
      <xdr:row>25</xdr:row>
      <xdr:rowOff>95250</xdr:rowOff>
    </xdr:from>
    <xdr:to>
      <xdr:col>8</xdr:col>
      <xdr:colOff>666750</xdr:colOff>
      <xdr:row>25</xdr:row>
      <xdr:rowOff>95250</xdr:rowOff>
    </xdr:to>
    <xdr:cxnSp macro="">
      <xdr:nvCxnSpPr>
        <xdr:cNvPr id="39" name="Rak pil 38"/>
        <xdr:cNvCxnSpPr/>
      </xdr:nvCxnSpPr>
      <xdr:spPr>
        <a:xfrm flipH="1">
          <a:off x="9979820" y="5076825"/>
          <a:ext cx="39290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14</xdr:row>
      <xdr:rowOff>104775</xdr:rowOff>
    </xdr:from>
    <xdr:to>
      <xdr:col>2</xdr:col>
      <xdr:colOff>38100</xdr:colOff>
      <xdr:row>16</xdr:row>
      <xdr:rowOff>9525</xdr:rowOff>
    </xdr:to>
    <xdr:sp macro="" textlink="">
      <xdr:nvSpPr>
        <xdr:cNvPr id="2" name="Ellips 1"/>
        <xdr:cNvSpPr/>
      </xdr:nvSpPr>
      <xdr:spPr>
        <a:xfrm>
          <a:off x="971550" y="110490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38100</xdr:colOff>
      <xdr:row>15</xdr:row>
      <xdr:rowOff>47625</xdr:rowOff>
    </xdr:from>
    <xdr:to>
      <xdr:col>5</xdr:col>
      <xdr:colOff>457200</xdr:colOff>
      <xdr:row>15</xdr:row>
      <xdr:rowOff>57150</xdr:rowOff>
    </xdr:to>
    <xdr:cxnSp macro="">
      <xdr:nvCxnSpPr>
        <xdr:cNvPr id="4" name="Rak 3"/>
        <xdr:cNvCxnSpPr>
          <a:stCxn id="2" idx="6"/>
        </xdr:cNvCxnSpPr>
      </xdr:nvCxnSpPr>
      <xdr:spPr>
        <a:xfrm flipV="1">
          <a:off x="1257300" y="1238250"/>
          <a:ext cx="22479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14</xdr:row>
      <xdr:rowOff>123825</xdr:rowOff>
    </xdr:from>
    <xdr:to>
      <xdr:col>6</xdr:col>
      <xdr:colOff>152400</xdr:colOff>
      <xdr:row>16</xdr:row>
      <xdr:rowOff>28575</xdr:rowOff>
    </xdr:to>
    <xdr:sp macro="" textlink="">
      <xdr:nvSpPr>
        <xdr:cNvPr id="5" name="Ellips 4"/>
        <xdr:cNvSpPr/>
      </xdr:nvSpPr>
      <xdr:spPr>
        <a:xfrm>
          <a:off x="3524250" y="112395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152400</xdr:colOff>
      <xdr:row>15</xdr:row>
      <xdr:rowOff>76200</xdr:rowOff>
    </xdr:from>
    <xdr:to>
      <xdr:col>12</xdr:col>
      <xdr:colOff>209550</xdr:colOff>
      <xdr:row>15</xdr:row>
      <xdr:rowOff>85725</xdr:rowOff>
    </xdr:to>
    <xdr:cxnSp macro="">
      <xdr:nvCxnSpPr>
        <xdr:cNvPr id="7" name="Rak 6"/>
        <xdr:cNvCxnSpPr/>
      </xdr:nvCxnSpPr>
      <xdr:spPr>
        <a:xfrm flipV="1">
          <a:off x="3810000" y="1266825"/>
          <a:ext cx="371475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228600</xdr:colOff>
      <xdr:row>14</xdr:row>
      <xdr:rowOff>85725</xdr:rowOff>
    </xdr:from>
    <xdr:to>
      <xdr:col>12</xdr:col>
      <xdr:colOff>514350</xdr:colOff>
      <xdr:row>15</xdr:row>
      <xdr:rowOff>180975</xdr:rowOff>
    </xdr:to>
    <xdr:sp macro="" textlink="">
      <xdr:nvSpPr>
        <xdr:cNvPr id="8" name="Ellips 7"/>
        <xdr:cNvSpPr/>
      </xdr:nvSpPr>
      <xdr:spPr>
        <a:xfrm>
          <a:off x="7543800" y="108585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361950</xdr:colOff>
      <xdr:row>19</xdr:row>
      <xdr:rowOff>104775</xdr:rowOff>
    </xdr:from>
    <xdr:to>
      <xdr:col>2</xdr:col>
      <xdr:colOff>38100</xdr:colOff>
      <xdr:row>21</xdr:row>
      <xdr:rowOff>0</xdr:rowOff>
    </xdr:to>
    <xdr:sp macro="" textlink="">
      <xdr:nvSpPr>
        <xdr:cNvPr id="9" name="Ellips 8"/>
        <xdr:cNvSpPr/>
      </xdr:nvSpPr>
      <xdr:spPr>
        <a:xfrm>
          <a:off x="971550" y="3009900"/>
          <a:ext cx="285750" cy="2762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38100</xdr:colOff>
      <xdr:row>20</xdr:row>
      <xdr:rowOff>47626</xdr:rowOff>
    </xdr:from>
    <xdr:to>
      <xdr:col>5</xdr:col>
      <xdr:colOff>457200</xdr:colOff>
      <xdr:row>20</xdr:row>
      <xdr:rowOff>52388</xdr:rowOff>
    </xdr:to>
    <xdr:cxnSp macro="">
      <xdr:nvCxnSpPr>
        <xdr:cNvPr id="10" name="Rak 9"/>
        <xdr:cNvCxnSpPr>
          <a:stCxn id="9" idx="6"/>
        </xdr:cNvCxnSpPr>
      </xdr:nvCxnSpPr>
      <xdr:spPr>
        <a:xfrm flipV="1">
          <a:off x="1257300" y="3143251"/>
          <a:ext cx="2247900" cy="4762"/>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476250</xdr:colOff>
      <xdr:row>19</xdr:row>
      <xdr:rowOff>123825</xdr:rowOff>
    </xdr:from>
    <xdr:to>
      <xdr:col>6</xdr:col>
      <xdr:colOff>152400</xdr:colOff>
      <xdr:row>21</xdr:row>
      <xdr:rowOff>47625</xdr:rowOff>
    </xdr:to>
    <xdr:sp macro="" textlink="">
      <xdr:nvSpPr>
        <xdr:cNvPr id="11" name="Ellips 10"/>
        <xdr:cNvSpPr/>
      </xdr:nvSpPr>
      <xdr:spPr>
        <a:xfrm>
          <a:off x="3524250" y="3028950"/>
          <a:ext cx="285750" cy="3048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152400</xdr:colOff>
      <xdr:row>20</xdr:row>
      <xdr:rowOff>76200</xdr:rowOff>
    </xdr:from>
    <xdr:to>
      <xdr:col>12</xdr:col>
      <xdr:colOff>209550</xdr:colOff>
      <xdr:row>20</xdr:row>
      <xdr:rowOff>85725</xdr:rowOff>
    </xdr:to>
    <xdr:cxnSp macro="">
      <xdr:nvCxnSpPr>
        <xdr:cNvPr id="12" name="Rak 11"/>
        <xdr:cNvCxnSpPr/>
      </xdr:nvCxnSpPr>
      <xdr:spPr>
        <a:xfrm flipV="1">
          <a:off x="3810000" y="2219325"/>
          <a:ext cx="371475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228600</xdr:colOff>
      <xdr:row>19</xdr:row>
      <xdr:rowOff>85725</xdr:rowOff>
    </xdr:from>
    <xdr:to>
      <xdr:col>12</xdr:col>
      <xdr:colOff>514350</xdr:colOff>
      <xdr:row>20</xdr:row>
      <xdr:rowOff>180975</xdr:rowOff>
    </xdr:to>
    <xdr:sp macro="" textlink="">
      <xdr:nvSpPr>
        <xdr:cNvPr id="13" name="Ellips 12"/>
        <xdr:cNvSpPr/>
      </xdr:nvSpPr>
      <xdr:spPr>
        <a:xfrm>
          <a:off x="7543800" y="203835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361950</xdr:colOff>
      <xdr:row>33</xdr:row>
      <xdr:rowOff>104775</xdr:rowOff>
    </xdr:from>
    <xdr:to>
      <xdr:col>2</xdr:col>
      <xdr:colOff>38100</xdr:colOff>
      <xdr:row>35</xdr:row>
      <xdr:rowOff>9525</xdr:rowOff>
    </xdr:to>
    <xdr:sp macro="" textlink="">
      <xdr:nvSpPr>
        <xdr:cNvPr id="16" name="Ellips 15"/>
        <xdr:cNvSpPr/>
      </xdr:nvSpPr>
      <xdr:spPr>
        <a:xfrm>
          <a:off x="971550" y="205740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38100</xdr:colOff>
      <xdr:row>34</xdr:row>
      <xdr:rowOff>47625</xdr:rowOff>
    </xdr:from>
    <xdr:to>
      <xdr:col>5</xdr:col>
      <xdr:colOff>457200</xdr:colOff>
      <xdr:row>34</xdr:row>
      <xdr:rowOff>57150</xdr:rowOff>
    </xdr:to>
    <xdr:cxnSp macro="">
      <xdr:nvCxnSpPr>
        <xdr:cNvPr id="17" name="Rak 16"/>
        <xdr:cNvCxnSpPr>
          <a:stCxn id="16" idx="6"/>
        </xdr:cNvCxnSpPr>
      </xdr:nvCxnSpPr>
      <xdr:spPr>
        <a:xfrm flipV="1">
          <a:off x="1257300" y="2190750"/>
          <a:ext cx="22479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33</xdr:row>
      <xdr:rowOff>123825</xdr:rowOff>
    </xdr:from>
    <xdr:to>
      <xdr:col>6</xdr:col>
      <xdr:colOff>152400</xdr:colOff>
      <xdr:row>35</xdr:row>
      <xdr:rowOff>28575</xdr:rowOff>
    </xdr:to>
    <xdr:sp macro="" textlink="">
      <xdr:nvSpPr>
        <xdr:cNvPr id="18" name="Ellips 17"/>
        <xdr:cNvSpPr/>
      </xdr:nvSpPr>
      <xdr:spPr>
        <a:xfrm>
          <a:off x="3524250" y="207645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152400</xdr:colOff>
      <xdr:row>34</xdr:row>
      <xdr:rowOff>76200</xdr:rowOff>
    </xdr:from>
    <xdr:to>
      <xdr:col>12</xdr:col>
      <xdr:colOff>209550</xdr:colOff>
      <xdr:row>34</xdr:row>
      <xdr:rowOff>85725</xdr:rowOff>
    </xdr:to>
    <xdr:cxnSp macro="">
      <xdr:nvCxnSpPr>
        <xdr:cNvPr id="19" name="Rak 18"/>
        <xdr:cNvCxnSpPr/>
      </xdr:nvCxnSpPr>
      <xdr:spPr>
        <a:xfrm flipV="1">
          <a:off x="3810000" y="2219325"/>
          <a:ext cx="5362575"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228600</xdr:colOff>
      <xdr:row>33</xdr:row>
      <xdr:rowOff>85725</xdr:rowOff>
    </xdr:from>
    <xdr:to>
      <xdr:col>12</xdr:col>
      <xdr:colOff>514350</xdr:colOff>
      <xdr:row>34</xdr:row>
      <xdr:rowOff>180975</xdr:rowOff>
    </xdr:to>
    <xdr:sp macro="" textlink="">
      <xdr:nvSpPr>
        <xdr:cNvPr id="20" name="Ellips 19"/>
        <xdr:cNvSpPr/>
      </xdr:nvSpPr>
      <xdr:spPr>
        <a:xfrm>
          <a:off x="9191625" y="2038350"/>
          <a:ext cx="285750" cy="2857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361950</xdr:colOff>
      <xdr:row>38</xdr:row>
      <xdr:rowOff>104775</xdr:rowOff>
    </xdr:from>
    <xdr:to>
      <xdr:col>2</xdr:col>
      <xdr:colOff>38100</xdr:colOff>
      <xdr:row>40</xdr:row>
      <xdr:rowOff>0</xdr:rowOff>
    </xdr:to>
    <xdr:sp macro="" textlink="">
      <xdr:nvSpPr>
        <xdr:cNvPr id="21" name="Ellips 20"/>
        <xdr:cNvSpPr/>
      </xdr:nvSpPr>
      <xdr:spPr>
        <a:xfrm>
          <a:off x="971550" y="3009900"/>
          <a:ext cx="285750" cy="2762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38100</xdr:colOff>
      <xdr:row>39</xdr:row>
      <xdr:rowOff>47626</xdr:rowOff>
    </xdr:from>
    <xdr:to>
      <xdr:col>5</xdr:col>
      <xdr:colOff>457200</xdr:colOff>
      <xdr:row>39</xdr:row>
      <xdr:rowOff>52388</xdr:rowOff>
    </xdr:to>
    <xdr:cxnSp macro="">
      <xdr:nvCxnSpPr>
        <xdr:cNvPr id="22" name="Rak 21"/>
        <xdr:cNvCxnSpPr>
          <a:stCxn id="21" idx="6"/>
        </xdr:cNvCxnSpPr>
      </xdr:nvCxnSpPr>
      <xdr:spPr>
        <a:xfrm flipV="1">
          <a:off x="1257300" y="3143251"/>
          <a:ext cx="2247900" cy="4762"/>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476250</xdr:colOff>
      <xdr:row>38</xdr:row>
      <xdr:rowOff>123825</xdr:rowOff>
    </xdr:from>
    <xdr:to>
      <xdr:col>6</xdr:col>
      <xdr:colOff>152400</xdr:colOff>
      <xdr:row>40</xdr:row>
      <xdr:rowOff>47625</xdr:rowOff>
    </xdr:to>
    <xdr:sp macro="" textlink="">
      <xdr:nvSpPr>
        <xdr:cNvPr id="23" name="Ellips 22"/>
        <xdr:cNvSpPr/>
      </xdr:nvSpPr>
      <xdr:spPr>
        <a:xfrm>
          <a:off x="3524250" y="3028950"/>
          <a:ext cx="285750" cy="3048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152400</xdr:colOff>
      <xdr:row>39</xdr:row>
      <xdr:rowOff>76200</xdr:rowOff>
    </xdr:from>
    <xdr:to>
      <xdr:col>12</xdr:col>
      <xdr:colOff>209550</xdr:colOff>
      <xdr:row>39</xdr:row>
      <xdr:rowOff>85725</xdr:rowOff>
    </xdr:to>
    <xdr:cxnSp macro="">
      <xdr:nvCxnSpPr>
        <xdr:cNvPr id="24" name="Rak 23"/>
        <xdr:cNvCxnSpPr/>
      </xdr:nvCxnSpPr>
      <xdr:spPr>
        <a:xfrm flipV="1">
          <a:off x="3810000" y="3171825"/>
          <a:ext cx="5362575" cy="95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228600</xdr:colOff>
      <xdr:row>38</xdr:row>
      <xdr:rowOff>85725</xdr:rowOff>
    </xdr:from>
    <xdr:to>
      <xdr:col>12</xdr:col>
      <xdr:colOff>514350</xdr:colOff>
      <xdr:row>39</xdr:row>
      <xdr:rowOff>180975</xdr:rowOff>
    </xdr:to>
    <xdr:sp macro="" textlink="">
      <xdr:nvSpPr>
        <xdr:cNvPr id="25" name="Ellips 24"/>
        <xdr:cNvSpPr/>
      </xdr:nvSpPr>
      <xdr:spPr>
        <a:xfrm>
          <a:off x="9191625" y="2990850"/>
          <a:ext cx="285750" cy="2857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11</xdr:row>
      <xdr:rowOff>95250</xdr:rowOff>
    </xdr:from>
    <xdr:to>
      <xdr:col>15</xdr:col>
      <xdr:colOff>85725</xdr:colOff>
      <xdr:row>39</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lhel01\Desktop\Testversion%20LTB%20maj%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
      <sheetName val="Om kalkylmodellen"/>
      <sheetName val="Indata bandelen"/>
      <sheetName val="Bakgrund"/>
      <sheetName val="Kalkylvärden"/>
      <sheetName val="ASEK4-&gt;ASEK5"/>
      <sheetName val="Diskontering"/>
      <sheetName val="Infrakostnader JA och UA 1-2"/>
      <sheetName val="UA1 Person"/>
      <sheetName val="UA1 Gods"/>
      <sheetName val="UA2 Person"/>
      <sheetName val="UA2 Gods"/>
      <sheetName val="Resultat UA1"/>
      <sheetName val="Resultat UA2"/>
      <sheetName val="Kontrollflik"/>
      <sheetName val="Rättelselogg"/>
      <sheetName val="Ej prissatta effekter"/>
    </sheetNames>
    <sheetDataSet>
      <sheetData sheetId="0" refreshError="1"/>
      <sheetData sheetId="1" refreshError="1"/>
      <sheetData sheetId="2" refreshError="1"/>
      <sheetData sheetId="3" refreshError="1"/>
      <sheetData sheetId="4" refreshError="1">
        <row r="28">
          <cell r="Q28">
            <v>-1.1999999999999999E-3</v>
          </cell>
          <cell r="R28">
            <v>0.57789999999999997</v>
          </cell>
        </row>
        <row r="100">
          <cell r="L100" t="str">
            <v>Jordbruk</v>
          </cell>
        </row>
        <row r="101">
          <cell r="L101" t="str">
            <v>Rundvirke</v>
          </cell>
        </row>
        <row r="102">
          <cell r="L102" t="str">
            <v>Trävaror</v>
          </cell>
        </row>
        <row r="103">
          <cell r="L103" t="str">
            <v>Livsmedel</v>
          </cell>
        </row>
        <row r="104">
          <cell r="L104" t="str">
            <v>Råolja och kol</v>
          </cell>
        </row>
        <row r="105">
          <cell r="L105" t="str">
            <v>Oljeprod., inkl. tjära</v>
          </cell>
        </row>
        <row r="106">
          <cell r="L106" t="str">
            <v>Järnmalm och skrot</v>
          </cell>
        </row>
        <row r="107">
          <cell r="L107" t="str">
            <v>Stål</v>
          </cell>
        </row>
        <row r="108">
          <cell r="L108" t="str">
            <v>Papper och massa</v>
          </cell>
        </row>
        <row r="109">
          <cell r="L109" t="str">
            <v>Jord, sten och byggnad</v>
          </cell>
        </row>
        <row r="110">
          <cell r="L110" t="str">
            <v>Kemikalier</v>
          </cell>
        </row>
        <row r="111">
          <cell r="L111" t="str">
            <v>Färdiga industriprod.</v>
          </cell>
        </row>
      </sheetData>
      <sheetData sheetId="5" refreshError="1"/>
      <sheetData sheetId="6" refreshError="1">
        <row r="5">
          <cell r="A5">
            <v>40</v>
          </cell>
        </row>
        <row r="16">
          <cell r="C16">
            <v>2</v>
          </cell>
          <cell r="D16">
            <v>3</v>
          </cell>
          <cell r="E16">
            <v>4</v>
          </cell>
          <cell r="F16">
            <v>5</v>
          </cell>
          <cell r="G16">
            <v>6</v>
          </cell>
          <cell r="H16">
            <v>7</v>
          </cell>
          <cell r="I16">
            <v>8</v>
          </cell>
          <cell r="J16">
            <v>9</v>
          </cell>
          <cell r="K16">
            <v>10</v>
          </cell>
          <cell r="L16">
            <v>11</v>
          </cell>
          <cell r="M16">
            <v>12</v>
          </cell>
          <cell r="N16">
            <v>13</v>
          </cell>
          <cell r="O16">
            <v>14</v>
          </cell>
          <cell r="P16">
            <v>15</v>
          </cell>
          <cell r="Q16">
            <v>16</v>
          </cell>
          <cell r="R16">
            <v>17</v>
          </cell>
          <cell r="S16">
            <v>18</v>
          </cell>
          <cell r="T16">
            <v>19</v>
          </cell>
          <cell r="U16">
            <v>20</v>
          </cell>
          <cell r="V16">
            <v>21</v>
          </cell>
          <cell r="W16">
            <v>22</v>
          </cell>
          <cell r="X16">
            <v>23</v>
          </cell>
          <cell r="Y16">
            <v>24</v>
          </cell>
          <cell r="Z16">
            <v>25</v>
          </cell>
          <cell r="AA16">
            <v>26</v>
          </cell>
          <cell r="AB16">
            <v>27</v>
          </cell>
          <cell r="AC16">
            <v>28</v>
          </cell>
          <cell r="AD16">
            <v>29</v>
          </cell>
          <cell r="AE16">
            <v>30</v>
          </cell>
          <cell r="AF16">
            <v>31</v>
          </cell>
          <cell r="AG16">
            <v>32</v>
          </cell>
          <cell r="AH16">
            <v>33</v>
          </cell>
          <cell r="AI16">
            <v>34</v>
          </cell>
          <cell r="AJ16">
            <v>35</v>
          </cell>
          <cell r="AK16">
            <v>36</v>
          </cell>
          <cell r="AL16">
            <v>37</v>
          </cell>
          <cell r="AM16">
            <v>38</v>
          </cell>
          <cell r="AN16">
            <v>39</v>
          </cell>
          <cell r="AO16">
            <v>40</v>
          </cell>
          <cell r="AP16">
            <v>41</v>
          </cell>
        </row>
        <row r="21">
          <cell r="C21">
            <v>0.97777777777777786</v>
          </cell>
          <cell r="D21">
            <v>0.95604938271604945</v>
          </cell>
          <cell r="E21">
            <v>0.93480384087791513</v>
          </cell>
          <cell r="F21">
            <v>0.91403042219173924</v>
          </cell>
          <cell r="G21">
            <v>0.89371863503192295</v>
          </cell>
          <cell r="H21">
            <v>0.87385822092010268</v>
          </cell>
          <cell r="I21">
            <v>0.85443914934410048</v>
          </cell>
          <cell r="J21">
            <v>0.83545161269200929</v>
          </cell>
          <cell r="K21">
            <v>0.80719962578938098</v>
          </cell>
          <cell r="L21">
            <v>0.77990302008635848</v>
          </cell>
          <cell r="M21">
            <v>0.75352948800614372</v>
          </cell>
          <cell r="N21">
            <v>0.72804781449868949</v>
          </cell>
          <cell r="O21">
            <v>0.70342784009535231</v>
          </cell>
          <cell r="P21">
            <v>0.67964042521290091</v>
          </cell>
          <cell r="Q21">
            <v>0.65665741566463853</v>
          </cell>
          <cell r="R21">
            <v>0.63445160933781508</v>
          </cell>
          <cell r="S21">
            <v>0.61299672399788896</v>
          </cell>
          <cell r="T21">
            <v>0.5922673661815353</v>
          </cell>
          <cell r="U21">
            <v>0.57223900114157999</v>
          </cell>
          <cell r="V21">
            <v>0.55288792380828999</v>
          </cell>
          <cell r="W21">
            <v>0.5341912307326474</v>
          </cell>
          <cell r="X21">
            <v>0.51612679297840336</v>
          </cell>
          <cell r="Y21">
            <v>0.49867322993082447</v>
          </cell>
          <cell r="Z21">
            <v>0.48180988399113478</v>
          </cell>
          <cell r="AA21">
            <v>0.46551679612670033</v>
          </cell>
          <cell r="AB21">
            <v>0.44977468224801964</v>
          </cell>
          <cell r="AC21">
            <v>0.43456491038456008</v>
          </cell>
          <cell r="AD21">
            <v>0.41986947863242519</v>
          </cell>
          <cell r="AE21">
            <v>0.40567099384775385</v>
          </cell>
          <cell r="AF21">
            <v>0.39195265106063176</v>
          </cell>
          <cell r="AG21">
            <v>0.37869821358515149</v>
          </cell>
          <cell r="AH21">
            <v>0.36589199380207876</v>
          </cell>
          <cell r="AI21">
            <v>0.35351883459138045</v>
          </cell>
          <cell r="AJ21">
            <v>0.34156409139263816</v>
          </cell>
          <cell r="AK21">
            <v>0.33001361487211417</v>
          </cell>
          <cell r="AL21">
            <v>0.31885373417595581</v>
          </cell>
          <cell r="AM21">
            <v>0.30807124074971576</v>
          </cell>
          <cell r="AN21">
            <v>0.29765337270503944</v>
          </cell>
          <cell r="AO21">
            <v>0.28758779971501391</v>
          </cell>
          <cell r="AP21">
            <v>0.27786260842030336</v>
          </cell>
        </row>
        <row r="22">
          <cell r="C22">
            <v>0.97777777777777786</v>
          </cell>
          <cell r="D22">
            <v>0.95604938271604945</v>
          </cell>
          <cell r="E22">
            <v>0.93480384087791513</v>
          </cell>
          <cell r="F22">
            <v>0.91403042219173924</v>
          </cell>
          <cell r="G22">
            <v>0.89371863503192295</v>
          </cell>
          <cell r="H22">
            <v>0.87385822092010268</v>
          </cell>
          <cell r="I22">
            <v>0.85443914934410048</v>
          </cell>
          <cell r="J22">
            <v>0.83545161269200929</v>
          </cell>
          <cell r="K22">
            <v>0.80719962578938098</v>
          </cell>
          <cell r="L22">
            <v>0.77990302008635848</v>
          </cell>
          <cell r="M22">
            <v>0.75352948800614372</v>
          </cell>
          <cell r="N22">
            <v>0.72804781449868949</v>
          </cell>
          <cell r="O22">
            <v>0.70342784009535231</v>
          </cell>
          <cell r="P22">
            <v>0.67964042521290091</v>
          </cell>
          <cell r="Q22">
            <v>0.65665741566463853</v>
          </cell>
          <cell r="R22">
            <v>0.63445160933781508</v>
          </cell>
          <cell r="S22">
            <v>0.61299672399788896</v>
          </cell>
          <cell r="T22">
            <v>0.5922673661815353</v>
          </cell>
          <cell r="U22">
            <v>0.57223900114157999</v>
          </cell>
          <cell r="V22">
            <v>0.55288792380828999</v>
          </cell>
          <cell r="W22">
            <v>0.5341912307326474</v>
          </cell>
          <cell r="X22">
            <v>0.51612679297840336</v>
          </cell>
          <cell r="Y22">
            <v>0.49867322993082447</v>
          </cell>
          <cell r="Z22">
            <v>0.48180988399113478</v>
          </cell>
          <cell r="AA22">
            <v>0.46551679612670033</v>
          </cell>
          <cell r="AB22">
            <v>0.44977468224801964</v>
          </cell>
          <cell r="AC22">
            <v>0.43456491038456008</v>
          </cell>
          <cell r="AD22">
            <v>0.41986947863242519</v>
          </cell>
          <cell r="AE22">
            <v>0.40567099384775385</v>
          </cell>
          <cell r="AF22">
            <v>0.39195265106063176</v>
          </cell>
          <cell r="AG22">
            <v>0.37869821358515149</v>
          </cell>
          <cell r="AH22">
            <v>0.36589199380207876</v>
          </cell>
          <cell r="AI22">
            <v>0.35351883459138045</v>
          </cell>
          <cell r="AJ22">
            <v>0.34156409139263816</v>
          </cell>
          <cell r="AK22">
            <v>0.33001361487211417</v>
          </cell>
          <cell r="AL22">
            <v>0.31885373417595581</v>
          </cell>
          <cell r="AM22">
            <v>0.30807124074971576</v>
          </cell>
          <cell r="AN22">
            <v>0.29765337270503944</v>
          </cell>
          <cell r="AO22">
            <v>0.28758779971501391</v>
          </cell>
          <cell r="AP22">
            <v>0</v>
          </cell>
        </row>
      </sheetData>
      <sheetData sheetId="7" refreshError="1"/>
      <sheetData sheetId="8" refreshError="1">
        <row r="57">
          <cell r="AF57">
            <v>30</v>
          </cell>
          <cell r="AG57">
            <v>60</v>
          </cell>
        </row>
      </sheetData>
      <sheetData sheetId="9" refreshError="1">
        <row r="17">
          <cell r="A17" t="str">
            <v>Från A till B från bandelen till målpunkt</v>
          </cell>
        </row>
        <row r="18">
          <cell r="A18" t="str">
            <v>Från A till B från bandelen till målpunkt</v>
          </cell>
        </row>
        <row r="19">
          <cell r="A19" t="str">
            <v>Från A till B från bandelen till målpunkt</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96"/>
  <sheetViews>
    <sheetView tabSelected="1" topLeftCell="A61" workbookViewId="0">
      <selection activeCell="E70" sqref="E70"/>
    </sheetView>
  </sheetViews>
  <sheetFormatPr defaultRowHeight="15" x14ac:dyDescent="0.25"/>
  <cols>
    <col min="2" max="2" width="60.85546875" bestFit="1" customWidth="1"/>
    <col min="3" max="3" width="27.5703125" bestFit="1" customWidth="1"/>
    <col min="4" max="4" width="18.5703125" customWidth="1"/>
    <col min="5" max="5" width="36.28515625" customWidth="1"/>
    <col min="6" max="6" width="16" customWidth="1"/>
    <col min="7" max="7" width="15.7109375" bestFit="1" customWidth="1"/>
    <col min="8" max="8" width="9.5703125" bestFit="1" customWidth="1"/>
    <col min="9" max="9" width="25.28515625" bestFit="1" customWidth="1"/>
    <col min="10" max="10" width="12.28515625" customWidth="1"/>
    <col min="11" max="11" width="17.85546875" customWidth="1"/>
    <col min="12" max="12" width="17.42578125" customWidth="1"/>
    <col min="13" max="13" width="25" customWidth="1"/>
    <col min="14" max="14" width="32.5703125" customWidth="1"/>
  </cols>
  <sheetData>
    <row r="1" spans="2:16384" ht="27" thickBot="1" x14ac:dyDescent="0.45">
      <c r="B1" s="493" t="s">
        <v>730</v>
      </c>
      <c r="C1" s="494"/>
      <c r="D1" s="495"/>
    </row>
    <row r="2" spans="2:16384" ht="15.75" thickBot="1" x14ac:dyDescent="0.3">
      <c r="B2" s="241" t="s">
        <v>943</v>
      </c>
    </row>
    <row r="3" spans="2:16384" s="430" customFormat="1" ht="21.75" thickBot="1" x14ac:dyDescent="0.4">
      <c r="B3" s="460" t="s">
        <v>716</v>
      </c>
      <c r="C3" s="461"/>
      <c r="D3" s="461"/>
      <c r="E3" s="461"/>
      <c r="F3" s="496"/>
      <c r="G3" s="497"/>
      <c r="H3" s="497"/>
      <c r="I3" s="463"/>
      <c r="J3" s="463"/>
      <c r="K3" s="463"/>
      <c r="L3" s="463"/>
      <c r="M3" s="463"/>
      <c r="N3" s="463"/>
      <c r="O3" s="463"/>
      <c r="P3" s="462"/>
      <c r="Q3"/>
      <c r="R3"/>
      <c r="S3"/>
      <c r="T3"/>
      <c r="U3"/>
      <c r="V3"/>
    </row>
    <row r="4" spans="2:16384" s="430" customFormat="1" x14ac:dyDescent="0.25">
      <c r="G4"/>
      <c r="H4"/>
      <c r="I4"/>
      <c r="J4"/>
      <c r="K4"/>
      <c r="L4"/>
      <c r="M4"/>
      <c r="N4"/>
      <c r="O4"/>
      <c r="P4"/>
      <c r="Q4"/>
      <c r="R4"/>
      <c r="S4"/>
      <c r="T4"/>
      <c r="U4"/>
      <c r="V4"/>
      <c r="W4"/>
      <c r="X4"/>
      <c r="Y4"/>
    </row>
    <row r="5" spans="2:16384" s="430" customFormat="1" x14ac:dyDescent="0.25">
      <c r="B5" s="318"/>
      <c r="C5" s="263"/>
      <c r="D5" s="263"/>
      <c r="E5" s="263"/>
      <c r="G5"/>
      <c r="H5"/>
      <c r="I5"/>
      <c r="J5"/>
      <c r="K5"/>
      <c r="L5"/>
      <c r="M5"/>
      <c r="N5"/>
      <c r="O5"/>
      <c r="P5"/>
      <c r="Q5"/>
      <c r="R5"/>
      <c r="S5"/>
      <c r="T5"/>
      <c r="U5"/>
      <c r="V5"/>
      <c r="W5"/>
      <c r="X5"/>
      <c r="Y5"/>
    </row>
    <row r="6" spans="2:16384" s="430" customFormat="1" ht="23.25" x14ac:dyDescent="0.35">
      <c r="B6" s="472" t="s">
        <v>922</v>
      </c>
      <c r="C6"/>
      <c r="D6"/>
      <c r="E6" s="263"/>
      <c r="G6"/>
      <c r="H6" s="263"/>
      <c r="I6" s="263"/>
      <c r="J6" s="263"/>
      <c r="K6" s="263"/>
      <c r="L6" s="263"/>
      <c r="M6" s="263"/>
      <c r="N6"/>
      <c r="O6"/>
      <c r="P6"/>
      <c r="Q6"/>
      <c r="R6"/>
      <c r="S6"/>
      <c r="T6"/>
      <c r="U6"/>
      <c r="V6"/>
      <c r="W6"/>
      <c r="X6"/>
      <c r="Y6"/>
    </row>
    <row r="7" spans="2:16384" s="430" customFormat="1" ht="15.75" thickBot="1" x14ac:dyDescent="0.3">
      <c r="B7" s="241"/>
      <c r="C7"/>
      <c r="D7"/>
      <c r="E7" s="263"/>
    </row>
    <row r="8" spans="2:16384" s="430" customFormat="1" ht="18.75" x14ac:dyDescent="0.3">
      <c r="B8" s="474" t="s">
        <v>748</v>
      </c>
      <c r="C8" s="480" t="s">
        <v>755</v>
      </c>
      <c r="D8" s="485" t="s">
        <v>719</v>
      </c>
      <c r="E8" s="263"/>
      <c r="G8"/>
      <c r="H8"/>
      <c r="I8"/>
      <c r="J8"/>
      <c r="K8"/>
      <c r="L8"/>
      <c r="M8"/>
      <c r="N8"/>
      <c r="O8"/>
      <c r="P8"/>
      <c r="Q8"/>
      <c r="R8"/>
      <c r="S8"/>
      <c r="T8"/>
      <c r="U8"/>
      <c r="V8"/>
      <c r="W8"/>
      <c r="X8"/>
      <c r="Y8"/>
    </row>
    <row r="9" spans="2:16384" s="430" customFormat="1" x14ac:dyDescent="0.25">
      <c r="B9" s="475" t="s">
        <v>749</v>
      </c>
      <c r="C9" s="481">
        <f>'Kalkylv operativa kostnader lb'!I6</f>
        <v>0.44472222222222219</v>
      </c>
      <c r="D9" s="486"/>
      <c r="E9" s="26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2:16384" s="430" customFormat="1" x14ac:dyDescent="0.25">
      <c r="B10" s="476" t="s">
        <v>750</v>
      </c>
      <c r="C10" s="482">
        <f>'Kalkylv operativa kostnader lb'!I7</f>
        <v>0.12590897235263424</v>
      </c>
      <c r="D10" s="668">
        <f>C9-C10</f>
        <v>0.31881324986958792</v>
      </c>
      <c r="E10" s="263"/>
      <c r="F10" s="439"/>
      <c r="G10" s="263"/>
      <c r="H10"/>
      <c r="I10"/>
      <c r="J10"/>
      <c r="K10"/>
      <c r="L10"/>
      <c r="M10"/>
      <c r="N10" s="263"/>
      <c r="O10" s="263"/>
      <c r="P10" s="263"/>
      <c r="Q10"/>
      <c r="R10"/>
      <c r="S10"/>
      <c r="T10"/>
      <c r="U10"/>
      <c r="V10"/>
      <c r="W10"/>
      <c r="X10"/>
      <c r="Y10"/>
    </row>
    <row r="11" spans="2:16384" s="430" customFormat="1" x14ac:dyDescent="0.25">
      <c r="B11" s="475"/>
      <c r="C11" s="387"/>
      <c r="D11" s="486"/>
      <c r="E11" s="263"/>
      <c r="F11"/>
      <c r="G11"/>
      <c r="H11"/>
      <c r="I11"/>
      <c r="J11"/>
      <c r="K11"/>
      <c r="L11"/>
      <c r="M11"/>
      <c r="N11"/>
      <c r="O11"/>
      <c r="P11"/>
      <c r="Q11"/>
      <c r="R11"/>
      <c r="S11"/>
      <c r="T11"/>
      <c r="U11"/>
      <c r="V11"/>
      <c r="W11"/>
      <c r="X11"/>
      <c r="Y11"/>
    </row>
    <row r="12" spans="2:16384" s="430" customFormat="1" x14ac:dyDescent="0.25">
      <c r="B12" s="477" t="s">
        <v>751</v>
      </c>
      <c r="C12" s="483">
        <f>'Kalkylv operativa kostnader lb'!I9</f>
        <v>22.197222222222223</v>
      </c>
      <c r="D12" s="486"/>
      <c r="E12" s="263"/>
      <c r="F12"/>
      <c r="G12"/>
      <c r="H12"/>
      <c r="I12"/>
      <c r="J12"/>
      <c r="K12"/>
      <c r="L12"/>
      <c r="M12"/>
      <c r="N12"/>
      <c r="O12"/>
      <c r="P12"/>
      <c r="Q12"/>
      <c r="R12"/>
      <c r="S12"/>
      <c r="T12"/>
      <c r="U12"/>
      <c r="V12"/>
      <c r="W12"/>
      <c r="X12"/>
      <c r="Y12"/>
    </row>
    <row r="13" spans="2:16384" s="430" customFormat="1" ht="15.75" thickBot="1" x14ac:dyDescent="0.3">
      <c r="B13" s="476" t="s">
        <v>752</v>
      </c>
      <c r="C13" s="484">
        <f>'Kalkylv operativa kostnader lb'!I10</f>
        <v>4.2772222222222229</v>
      </c>
      <c r="D13" s="669">
        <f>C12-C13</f>
        <v>17.920000000000002</v>
      </c>
      <c r="E13" s="263"/>
      <c r="F13"/>
      <c r="G13"/>
      <c r="H13"/>
      <c r="I13"/>
      <c r="J13"/>
      <c r="K13"/>
      <c r="L13"/>
      <c r="M13"/>
      <c r="N13"/>
      <c r="O13"/>
      <c r="P13"/>
      <c r="Q13"/>
      <c r="R13"/>
      <c r="S13"/>
      <c r="T13"/>
      <c r="U13"/>
      <c r="V13"/>
      <c r="W13"/>
      <c r="X13"/>
      <c r="Y13"/>
    </row>
    <row r="14" spans="2:16384" s="430" customFormat="1" x14ac:dyDescent="0.25">
      <c r="B14"/>
      <c r="C14"/>
      <c r="D14"/>
      <c r="E14" s="263"/>
      <c r="G14"/>
      <c r="H14"/>
      <c r="I14"/>
      <c r="J14"/>
      <c r="K14"/>
      <c r="L14"/>
      <c r="M14"/>
      <c r="N14"/>
      <c r="O14"/>
      <c r="P14"/>
      <c r="Q14"/>
      <c r="R14"/>
      <c r="S14"/>
      <c r="T14"/>
      <c r="U14"/>
      <c r="V14"/>
      <c r="W14"/>
      <c r="X14"/>
      <c r="Y14"/>
    </row>
    <row r="15" spans="2:16384" s="430" customFormat="1" ht="21" x14ac:dyDescent="0.35">
      <c r="B15" s="473"/>
      <c r="C15"/>
      <c r="D15"/>
      <c r="E15" s="263"/>
      <c r="F15" s="437"/>
      <c r="G15"/>
      <c r="H15"/>
      <c r="I15"/>
      <c r="J15"/>
      <c r="K15"/>
      <c r="L15"/>
      <c r="M15"/>
      <c r="N15"/>
      <c r="O15"/>
      <c r="P15"/>
      <c r="Q15"/>
      <c r="R15"/>
      <c r="S15"/>
      <c r="T15"/>
      <c r="U15"/>
      <c r="V15"/>
      <c r="W15"/>
      <c r="X15"/>
      <c r="Y15"/>
    </row>
    <row r="16" spans="2:16384" s="430" customFormat="1" x14ac:dyDescent="0.25">
      <c r="B16" s="241" t="s">
        <v>753</v>
      </c>
      <c r="C16"/>
      <c r="D16"/>
      <c r="E16" s="263"/>
      <c r="F16" s="263"/>
      <c r="G16"/>
      <c r="H16"/>
      <c r="I16"/>
      <c r="J16"/>
      <c r="K16"/>
      <c r="L16"/>
      <c r="M16"/>
      <c r="N16"/>
      <c r="O16"/>
      <c r="P16"/>
      <c r="Q16"/>
      <c r="R16"/>
      <c r="S16"/>
      <c r="T16"/>
      <c r="U16"/>
      <c r="V16"/>
      <c r="W16"/>
      <c r="X16"/>
      <c r="Y16"/>
    </row>
    <row r="17" spans="2:25" s="430" customFormat="1" x14ac:dyDescent="0.25">
      <c r="B17" s="478"/>
      <c r="C17" s="14"/>
      <c r="D17"/>
      <c r="E17" s="263"/>
      <c r="F17" s="263"/>
      <c r="G17"/>
      <c r="H17"/>
      <c r="I17"/>
      <c r="J17"/>
      <c r="K17"/>
      <c r="L17"/>
      <c r="M17"/>
      <c r="N17"/>
      <c r="O17"/>
      <c r="P17"/>
      <c r="Q17"/>
      <c r="R17"/>
      <c r="S17"/>
      <c r="T17"/>
      <c r="U17"/>
      <c r="V17"/>
      <c r="W17"/>
      <c r="X17"/>
      <c r="Y17"/>
    </row>
    <row r="18" spans="2:25" s="430" customFormat="1" ht="45" x14ac:dyDescent="0.25">
      <c r="B18" s="476" t="s">
        <v>754</v>
      </c>
      <c r="C18" s="479">
        <v>18</v>
      </c>
      <c r="D18"/>
      <c r="E18" s="245" t="s">
        <v>746</v>
      </c>
      <c r="F18" s="263"/>
      <c r="G18"/>
      <c r="H18"/>
      <c r="I18"/>
      <c r="J18"/>
      <c r="K18"/>
      <c r="L18"/>
      <c r="M18"/>
      <c r="N18"/>
      <c r="O18"/>
      <c r="P18"/>
      <c r="Q18"/>
      <c r="R18"/>
      <c r="S18"/>
      <c r="T18"/>
      <c r="U18"/>
      <c r="V18"/>
      <c r="W18"/>
      <c r="X18"/>
      <c r="Y18"/>
    </row>
    <row r="19" spans="2:25" s="430" customFormat="1" x14ac:dyDescent="0.25">
      <c r="B19" s="438"/>
      <c r="C19" s="263"/>
      <c r="D19" s="263"/>
      <c r="E19" s="263"/>
      <c r="F19" s="263"/>
      <c r="G19"/>
      <c r="H19"/>
      <c r="I19"/>
      <c r="J19"/>
      <c r="K19"/>
      <c r="L19"/>
      <c r="M19"/>
      <c r="N19"/>
      <c r="O19"/>
      <c r="P19"/>
      <c r="Q19"/>
      <c r="R19"/>
      <c r="S19"/>
      <c r="T19"/>
      <c r="U19"/>
      <c r="V19"/>
      <c r="W19"/>
      <c r="X19"/>
      <c r="Y19"/>
    </row>
    <row r="20" spans="2:25" s="453" customFormat="1" x14ac:dyDescent="0.25">
      <c r="B20" s="152"/>
      <c r="C20" s="152"/>
      <c r="D20" s="152"/>
      <c r="E20" s="152"/>
      <c r="F20" s="152"/>
      <c r="G20" s="153"/>
      <c r="H20" s="153"/>
      <c r="I20" s="153"/>
      <c r="J20" s="153"/>
      <c r="K20" s="153"/>
      <c r="L20" s="153"/>
      <c r="M20" s="153"/>
      <c r="N20" s="153"/>
      <c r="O20" s="153"/>
      <c r="P20" s="153"/>
      <c r="Q20" s="153"/>
      <c r="R20" s="153"/>
      <c r="S20" s="153"/>
      <c r="T20" s="153"/>
      <c r="U20" s="153"/>
      <c r="V20" s="153"/>
      <c r="W20" s="153"/>
      <c r="X20" s="153"/>
      <c r="Y20" s="153"/>
    </row>
    <row r="21" spans="2:25" s="430" customFormat="1" x14ac:dyDescent="0.25">
      <c r="B21" s="152"/>
      <c r="C21" s="152"/>
      <c r="D21" s="152"/>
      <c r="E21" s="152"/>
      <c r="G21"/>
      <c r="H21"/>
      <c r="I21"/>
      <c r="J21"/>
      <c r="K21"/>
      <c r="L21"/>
      <c r="M21"/>
      <c r="N21"/>
      <c r="O21"/>
      <c r="P21"/>
      <c r="Q21"/>
      <c r="R21"/>
      <c r="S21"/>
      <c r="T21"/>
      <c r="U21"/>
      <c r="V21"/>
      <c r="W21"/>
      <c r="X21"/>
      <c r="Y21"/>
    </row>
    <row r="22" spans="2:25" s="430" customFormat="1" x14ac:dyDescent="0.25">
      <c r="B22" s="152"/>
      <c r="C22" s="152"/>
      <c r="D22" s="152"/>
      <c r="E22" s="152"/>
      <c r="G22"/>
      <c r="H22"/>
      <c r="I22"/>
      <c r="J22"/>
      <c r="K22"/>
      <c r="L22"/>
      <c r="M22"/>
      <c r="N22"/>
      <c r="O22"/>
      <c r="P22"/>
      <c r="Q22"/>
      <c r="R22"/>
      <c r="S22"/>
      <c r="T22"/>
      <c r="U22"/>
      <c r="V22"/>
      <c r="W22"/>
      <c r="X22"/>
      <c r="Y22"/>
    </row>
    <row r="23" spans="2:25" x14ac:dyDescent="0.25">
      <c r="B23" s="430"/>
      <c r="C23" s="430"/>
      <c r="D23" s="430"/>
      <c r="E23" s="430"/>
    </row>
    <row r="24" spans="2:25" ht="15.75" thickBot="1" x14ac:dyDescent="0.3"/>
    <row r="25" spans="2:25" s="430" customFormat="1" ht="21.75" thickBot="1" x14ac:dyDescent="0.4">
      <c r="B25" s="460" t="s">
        <v>335</v>
      </c>
      <c r="C25" s="461"/>
      <c r="D25" s="461"/>
      <c r="E25" s="461"/>
      <c r="F25" s="461"/>
      <c r="G25" s="462"/>
      <c r="H25" s="463"/>
      <c r="I25" s="463"/>
      <c r="J25" s="463"/>
      <c r="K25" s="463"/>
      <c r="L25" s="463"/>
      <c r="M25" s="463"/>
      <c r="N25" s="463"/>
      <c r="O25" s="463"/>
      <c r="P25" s="462"/>
    </row>
    <row r="26" spans="2:25" s="430" customFormat="1" ht="12.75" x14ac:dyDescent="0.2">
      <c r="D26" s="566" t="s">
        <v>837</v>
      </c>
      <c r="E26" s="566"/>
    </row>
    <row r="27" spans="2:25" s="434" customFormat="1" ht="12.75" x14ac:dyDescent="0.2">
      <c r="C27" s="434" t="s">
        <v>259</v>
      </c>
      <c r="E27" s="434" t="s">
        <v>260</v>
      </c>
    </row>
    <row r="28" spans="2:25" s="430" customFormat="1" ht="12.75" x14ac:dyDescent="0.2">
      <c r="C28" s="431" t="s">
        <v>908</v>
      </c>
      <c r="D28" s="431" t="s">
        <v>907</v>
      </c>
      <c r="E28" s="431" t="s">
        <v>908</v>
      </c>
      <c r="F28" s="431" t="s">
        <v>907</v>
      </c>
    </row>
    <row r="29" spans="2:25" s="430" customFormat="1" ht="12.75" x14ac:dyDescent="0.2">
      <c r="B29" s="431" t="s">
        <v>717</v>
      </c>
      <c r="C29" s="435" t="s">
        <v>721</v>
      </c>
      <c r="D29" s="435" t="s">
        <v>722</v>
      </c>
      <c r="E29" s="435" t="s">
        <v>721</v>
      </c>
      <c r="F29" s="435" t="s">
        <v>722</v>
      </c>
    </row>
    <row r="30" spans="2:25" s="430" customFormat="1" ht="12.75" x14ac:dyDescent="0.2">
      <c r="B30" s="431" t="s">
        <v>718</v>
      </c>
      <c r="C30" s="435" t="s">
        <v>721</v>
      </c>
      <c r="D30" s="435" t="s">
        <v>721</v>
      </c>
      <c r="E30" s="435" t="s">
        <v>721</v>
      </c>
      <c r="F30" s="435" t="s">
        <v>721</v>
      </c>
    </row>
    <row r="31" spans="2:25" s="430" customFormat="1" ht="12.75" x14ac:dyDescent="0.2">
      <c r="B31" s="431" t="s">
        <v>541</v>
      </c>
      <c r="C31" s="435" t="s">
        <v>720</v>
      </c>
      <c r="D31" s="435" t="s">
        <v>719</v>
      </c>
      <c r="E31" s="435" t="s">
        <v>720</v>
      </c>
      <c r="F31" s="435" t="s">
        <v>719</v>
      </c>
    </row>
    <row r="32" spans="2:25" s="430" customFormat="1" ht="12.75" x14ac:dyDescent="0.2">
      <c r="B32" s="431" t="s">
        <v>723</v>
      </c>
      <c r="C32" s="435" t="s">
        <v>724</v>
      </c>
      <c r="D32" s="435" t="s">
        <v>724</v>
      </c>
      <c r="E32" s="435" t="s">
        <v>724</v>
      </c>
      <c r="F32" s="435" t="s">
        <v>724</v>
      </c>
    </row>
    <row r="33" spans="2:10" s="430" customFormat="1" ht="12.75" x14ac:dyDescent="0.2">
      <c r="C33" s="432"/>
      <c r="D33" s="432"/>
      <c r="E33" s="432"/>
      <c r="F33" s="432"/>
    </row>
    <row r="34" spans="2:10" s="430" customFormat="1" ht="12.75" x14ac:dyDescent="0.2">
      <c r="C34" s="432"/>
      <c r="D34" s="432"/>
      <c r="E34" s="432"/>
      <c r="F34" s="432"/>
    </row>
    <row r="35" spans="2:10" s="430" customFormat="1" ht="12.75" x14ac:dyDescent="0.2">
      <c r="B35" s="430" t="s">
        <v>942</v>
      </c>
      <c r="C35" s="432"/>
      <c r="D35" s="432"/>
      <c r="E35" s="432"/>
      <c r="F35" s="432"/>
    </row>
    <row r="36" spans="2:10" s="430" customFormat="1" ht="12.75" x14ac:dyDescent="0.2">
      <c r="C36" s="432"/>
      <c r="D36" s="432"/>
      <c r="E36" s="432"/>
      <c r="F36" s="432"/>
    </row>
    <row r="37" spans="2:10" s="430" customFormat="1" ht="12.75" x14ac:dyDescent="0.2">
      <c r="C37" s="432"/>
      <c r="D37" s="432"/>
      <c r="E37" s="432"/>
      <c r="F37" s="432"/>
    </row>
    <row r="39" spans="2:10" ht="26.25" x14ac:dyDescent="0.4">
      <c r="B39" s="436" t="s">
        <v>732</v>
      </c>
    </row>
    <row r="40" spans="2:10" ht="15.75" thickBot="1" x14ac:dyDescent="0.3"/>
    <row r="41" spans="2:10" x14ac:dyDescent="0.25">
      <c r="C41" s="195" t="s">
        <v>104</v>
      </c>
      <c r="D41" s="195" t="s">
        <v>898</v>
      </c>
      <c r="G41" s="451" t="s">
        <v>725</v>
      </c>
      <c r="H41" s="248" t="s">
        <v>740</v>
      </c>
      <c r="I41" s="248"/>
      <c r="J41" s="249"/>
    </row>
    <row r="42" spans="2:10" x14ac:dyDescent="0.25">
      <c r="B42" t="s">
        <v>731</v>
      </c>
      <c r="C42" s="636">
        <v>4.875</v>
      </c>
      <c r="D42">
        <v>2017</v>
      </c>
      <c r="G42" s="348" t="s">
        <v>727</v>
      </c>
      <c r="H42" s="2"/>
      <c r="I42" s="2"/>
      <c r="J42" s="252">
        <v>1.5</v>
      </c>
    </row>
    <row r="43" spans="2:10" x14ac:dyDescent="0.25">
      <c r="B43" t="s">
        <v>105</v>
      </c>
      <c r="C43" s="636">
        <v>2.8149999999999999</v>
      </c>
      <c r="D43">
        <v>2017</v>
      </c>
      <c r="G43" s="348" t="s">
        <v>105</v>
      </c>
      <c r="H43" s="2" t="s">
        <v>740</v>
      </c>
      <c r="I43" s="2"/>
      <c r="J43" s="252"/>
    </row>
    <row r="44" spans="2:10" ht="15.75" thickBot="1" x14ac:dyDescent="0.3">
      <c r="B44" t="s">
        <v>725</v>
      </c>
      <c r="C44" s="636">
        <v>0.8</v>
      </c>
      <c r="D44">
        <v>2017</v>
      </c>
      <c r="E44" t="s">
        <v>840</v>
      </c>
      <c r="G44" s="348" t="s">
        <v>738</v>
      </c>
      <c r="H44" s="2"/>
      <c r="I44" s="2"/>
      <c r="J44" s="252">
        <v>1.5</v>
      </c>
    </row>
    <row r="45" spans="2:10" ht="15.75" thickBot="1" x14ac:dyDescent="0.3">
      <c r="B45" s="454" t="s">
        <v>899</v>
      </c>
      <c r="C45" s="455">
        <f>(C42-C44-C43)*1.015^8+C44+C43</f>
        <v>5.0343806591100861</v>
      </c>
      <c r="D45" s="450">
        <v>2025</v>
      </c>
      <c r="E45" s="644">
        <f>(C42-C43-C44)/C42</f>
        <v>0.25846153846153846</v>
      </c>
      <c r="G45" s="452" t="s">
        <v>739</v>
      </c>
      <c r="H45" s="255"/>
      <c r="I45" s="255"/>
      <c r="J45" s="256">
        <v>1.5</v>
      </c>
    </row>
    <row r="46" spans="2:10" ht="15.75" thickBot="1" x14ac:dyDescent="0.3">
      <c r="B46" s="174" t="s">
        <v>917</v>
      </c>
      <c r="C46" s="174">
        <f>C42-C44</f>
        <v>4.0750000000000002</v>
      </c>
      <c r="D46" s="450">
        <v>2025</v>
      </c>
      <c r="E46" s="642">
        <f>(C46-C43)/C46</f>
        <v>0.30920245398773011</v>
      </c>
    </row>
    <row r="47" spans="2:10" x14ac:dyDescent="0.25">
      <c r="B47" s="241"/>
    </row>
    <row r="50" spans="2:15" ht="27" thickBot="1" x14ac:dyDescent="0.45">
      <c r="B50" s="436" t="s">
        <v>733</v>
      </c>
      <c r="C50" t="s">
        <v>900</v>
      </c>
      <c r="E50" s="639">
        <v>2025</v>
      </c>
    </row>
    <row r="51" spans="2:15" x14ac:dyDescent="0.25">
      <c r="B51" s="440" t="s">
        <v>725</v>
      </c>
      <c r="C51" s="637">
        <v>3.5000000000000003E-2</v>
      </c>
      <c r="D51" s="441" t="s">
        <v>151</v>
      </c>
      <c r="E51" s="442">
        <f>C51</f>
        <v>3.5000000000000003E-2</v>
      </c>
      <c r="G51" s="7"/>
    </row>
    <row r="52" spans="2:15" x14ac:dyDescent="0.25">
      <c r="B52" s="443" t="s">
        <v>727</v>
      </c>
      <c r="C52" s="638">
        <v>2.3E-3</v>
      </c>
      <c r="D52" s="444" t="s">
        <v>151</v>
      </c>
      <c r="E52" s="635">
        <f>C52*(1.015^8)</f>
        <v>2.5909329491692031E-3</v>
      </c>
      <c r="F52" t="s">
        <v>825</v>
      </c>
      <c r="G52" s="7"/>
    </row>
    <row r="53" spans="2:15" x14ac:dyDescent="0.25">
      <c r="B53" s="537" t="s">
        <v>105</v>
      </c>
      <c r="C53" s="638">
        <v>0.23</v>
      </c>
      <c r="D53" s="444" t="s">
        <v>151</v>
      </c>
      <c r="E53" s="445">
        <f>C53</f>
        <v>0.23</v>
      </c>
      <c r="G53" s="7"/>
    </row>
    <row r="54" spans="2:15" x14ac:dyDescent="0.25">
      <c r="B54" s="443" t="s">
        <v>901</v>
      </c>
      <c r="C54" s="638">
        <v>2.8E-3</v>
      </c>
      <c r="D54" s="444" t="s">
        <v>151</v>
      </c>
      <c r="E54" s="635">
        <f>C54*1.015^8</f>
        <v>3.1541792424668561E-3</v>
      </c>
      <c r="G54" s="7"/>
    </row>
    <row r="55" spans="2:15" ht="15.75" thickBot="1" x14ac:dyDescent="0.3">
      <c r="B55" s="446" t="s">
        <v>742</v>
      </c>
      <c r="C55" s="447"/>
      <c r="D55" s="447" t="s">
        <v>151</v>
      </c>
      <c r="E55" s="640">
        <f>SUM(E53:E54)</f>
        <v>0.23315417924246687</v>
      </c>
      <c r="G55" s="297"/>
    </row>
    <row r="56" spans="2:15" x14ac:dyDescent="0.25">
      <c r="B56" s="448"/>
    </row>
    <row r="57" spans="2:15" x14ac:dyDescent="0.25">
      <c r="E57" t="s">
        <v>840</v>
      </c>
      <c r="F57" s="641">
        <f>E54/E55</f>
        <v>1.3528298110353373E-2</v>
      </c>
    </row>
    <row r="58" spans="2:15" ht="26.25" x14ac:dyDescent="0.4">
      <c r="B58" s="436" t="s">
        <v>734</v>
      </c>
      <c r="I58" s="436" t="s">
        <v>741</v>
      </c>
    </row>
    <row r="59" spans="2:15" x14ac:dyDescent="0.25">
      <c r="B59" s="241"/>
    </row>
    <row r="60" spans="2:15" x14ac:dyDescent="0.25">
      <c r="B60" s="143"/>
      <c r="C60" s="143"/>
      <c r="D60" s="143"/>
      <c r="E60" s="143"/>
    </row>
    <row r="61" spans="2:15" x14ac:dyDescent="0.25">
      <c r="I61" s="143" t="s">
        <v>335</v>
      </c>
      <c r="J61" s="647">
        <v>2017</v>
      </c>
      <c r="K61" t="s">
        <v>740</v>
      </c>
    </row>
    <row r="63" spans="2:15" x14ac:dyDescent="0.25">
      <c r="I63" t="s">
        <v>725</v>
      </c>
      <c r="J63" s="639">
        <v>0.4</v>
      </c>
      <c r="K63" t="s">
        <v>726</v>
      </c>
      <c r="L63" s="58"/>
      <c r="N63" s="263"/>
    </row>
    <row r="64" spans="2:15" x14ac:dyDescent="0.25">
      <c r="C64" t="s">
        <v>941</v>
      </c>
      <c r="I64" t="s">
        <v>736</v>
      </c>
      <c r="J64" s="639">
        <v>0.08</v>
      </c>
      <c r="K64" t="s">
        <v>726</v>
      </c>
      <c r="N64" s="143"/>
      <c r="O64" s="639"/>
    </row>
    <row r="65" spans="2:15" x14ac:dyDescent="0.25">
      <c r="B65" t="s">
        <v>896</v>
      </c>
      <c r="C65" s="639">
        <v>0.44500000000000006</v>
      </c>
      <c r="D65" t="s">
        <v>726</v>
      </c>
      <c r="E65" s="631"/>
      <c r="F65" s="7"/>
      <c r="I65" t="s">
        <v>105</v>
      </c>
      <c r="J65" s="639">
        <v>0.375</v>
      </c>
      <c r="K65" t="s">
        <v>726</v>
      </c>
    </row>
    <row r="66" spans="2:15" ht="15.75" thickBot="1" x14ac:dyDescent="0.3">
      <c r="B66" s="143"/>
      <c r="E66" s="7"/>
      <c r="F66" s="370"/>
      <c r="I66" t="s">
        <v>727</v>
      </c>
      <c r="J66" s="639">
        <v>0.39</v>
      </c>
      <c r="K66" t="s">
        <v>726</v>
      </c>
      <c r="L66" s="241"/>
      <c r="N66" s="143"/>
      <c r="O66" s="143"/>
    </row>
    <row r="67" spans="2:15" ht="15.75" thickBot="1" x14ac:dyDescent="0.3">
      <c r="E67" s="7"/>
      <c r="F67" s="7"/>
      <c r="I67" t="s">
        <v>946</v>
      </c>
      <c r="J67">
        <f>SUM(J63:J66)</f>
        <v>1.2450000000000001</v>
      </c>
      <c r="K67" t="s">
        <v>726</v>
      </c>
      <c r="N67" s="661"/>
      <c r="O67" s="458"/>
    </row>
    <row r="68" spans="2:15" x14ac:dyDescent="0.25">
      <c r="E68" s="7"/>
      <c r="F68" s="7"/>
      <c r="I68" s="645" t="s">
        <v>906</v>
      </c>
      <c r="J68" s="646">
        <f>(J64+J66)*1.015^8+J65+J63</f>
        <v>1.3044515156997938</v>
      </c>
      <c r="K68" t="s">
        <v>726</v>
      </c>
    </row>
    <row r="69" spans="2:15" x14ac:dyDescent="0.25">
      <c r="E69" s="7"/>
      <c r="F69" s="7"/>
      <c r="I69" s="465"/>
      <c r="J69" s="449"/>
      <c r="L69" t="s">
        <v>840</v>
      </c>
    </row>
    <row r="70" spans="2:15" ht="15.75" thickBot="1" x14ac:dyDescent="0.3">
      <c r="E70" s="7"/>
      <c r="F70" s="7"/>
      <c r="I70" s="459" t="s">
        <v>909</v>
      </c>
      <c r="J70" s="466">
        <f>J68</f>
        <v>1.3044515156997938</v>
      </c>
      <c r="K70" s="328" t="s">
        <v>726</v>
      </c>
      <c r="L70" s="642">
        <f>(J64+J66)/J67</f>
        <v>0.37751004016064255</v>
      </c>
    </row>
    <row r="71" spans="2:15" ht="15.75" thickBot="1" x14ac:dyDescent="0.3">
      <c r="I71" s="459" t="s">
        <v>910</v>
      </c>
      <c r="J71" s="466">
        <f>J68-J63</f>
        <v>0.90445151569979376</v>
      </c>
      <c r="K71" s="328" t="s">
        <v>726</v>
      </c>
      <c r="L71" s="639">
        <f>(J64+J66)/(J67-J63)</f>
        <v>0.55621301775147924</v>
      </c>
    </row>
    <row r="72" spans="2:15" x14ac:dyDescent="0.25">
      <c r="B72" s="143" t="s">
        <v>735</v>
      </c>
      <c r="C72" s="195" t="s">
        <v>905</v>
      </c>
    </row>
    <row r="74" spans="2:15" x14ac:dyDescent="0.25">
      <c r="B74" t="s">
        <v>725</v>
      </c>
      <c r="C74" s="641">
        <v>0.04</v>
      </c>
      <c r="D74" t="s">
        <v>726</v>
      </c>
      <c r="E74">
        <v>2017</v>
      </c>
    </row>
    <row r="75" spans="2:15" x14ac:dyDescent="0.25">
      <c r="B75" t="s">
        <v>736</v>
      </c>
      <c r="C75" s="641">
        <v>0.125</v>
      </c>
      <c r="D75" t="s">
        <v>726</v>
      </c>
      <c r="E75">
        <v>2017</v>
      </c>
    </row>
    <row r="76" spans="2:15" x14ac:dyDescent="0.25">
      <c r="B76" t="s">
        <v>105</v>
      </c>
      <c r="C76" s="641">
        <v>0.54149999999999998</v>
      </c>
      <c r="D76" t="s">
        <v>726</v>
      </c>
      <c r="E76">
        <v>2017</v>
      </c>
    </row>
    <row r="77" spans="2:15" x14ac:dyDescent="0.25">
      <c r="B77" t="s">
        <v>727</v>
      </c>
      <c r="C77" s="641">
        <v>0.39</v>
      </c>
      <c r="D77" t="s">
        <v>726</v>
      </c>
      <c r="E77">
        <v>2017</v>
      </c>
    </row>
    <row r="78" spans="2:15" x14ac:dyDescent="0.25">
      <c r="B78" t="s">
        <v>946</v>
      </c>
      <c r="C78" s="641">
        <f>SUM(C74:C77)</f>
        <v>1.0965</v>
      </c>
      <c r="D78" t="s">
        <v>726</v>
      </c>
      <c r="E78">
        <v>2017</v>
      </c>
    </row>
    <row r="79" spans="2:15" ht="15.75" thickBot="1" x14ac:dyDescent="0.3">
      <c r="B79" s="634" t="s">
        <v>912</v>
      </c>
      <c r="C79" s="641">
        <f>(C75+C77)*1.015^8+(C74+C76)</f>
        <v>1.1616436820965825</v>
      </c>
      <c r="D79" t="s">
        <v>726</v>
      </c>
      <c r="E79" t="s">
        <v>897</v>
      </c>
      <c r="F79" s="642">
        <f>(C77+C75)/C78</f>
        <v>0.4696762425900593</v>
      </c>
    </row>
    <row r="80" spans="2:15" ht="15.75" thickBot="1" x14ac:dyDescent="0.3">
      <c r="B80" s="634" t="s">
        <v>913</v>
      </c>
      <c r="C80" s="641">
        <f>(C75+C77)*1.015^8+C76</f>
        <v>1.1216436820965825</v>
      </c>
      <c r="D80" t="s">
        <v>726</v>
      </c>
      <c r="E80" t="s">
        <v>897</v>
      </c>
      <c r="F80" s="642">
        <f>C75+C77/C80</f>
        <v>0.47270400460064987</v>
      </c>
    </row>
    <row r="81" spans="2:8" x14ac:dyDescent="0.25">
      <c r="B81" s="370"/>
      <c r="C81" s="633"/>
    </row>
    <row r="82" spans="2:8" x14ac:dyDescent="0.25">
      <c r="B82" s="7"/>
      <c r="C82" s="7"/>
      <c r="E82" s="197"/>
    </row>
    <row r="83" spans="2:8" x14ac:dyDescent="0.25">
      <c r="B83" s="370"/>
      <c r="C83" s="632"/>
      <c r="D83" s="297"/>
    </row>
    <row r="84" spans="2:8" x14ac:dyDescent="0.25">
      <c r="B84" s="370"/>
      <c r="C84" s="632"/>
    </row>
    <row r="85" spans="2:8" x14ac:dyDescent="0.25">
      <c r="B85" s="370"/>
      <c r="C85" s="632"/>
    </row>
    <row r="86" spans="2:8" x14ac:dyDescent="0.25">
      <c r="B86" s="370"/>
      <c r="C86" s="632"/>
    </row>
    <row r="87" spans="2:8" ht="26.25" x14ac:dyDescent="0.4">
      <c r="B87" s="436" t="s">
        <v>737</v>
      </c>
    </row>
    <row r="89" spans="2:8" x14ac:dyDescent="0.25">
      <c r="C89" t="s">
        <v>900</v>
      </c>
    </row>
    <row r="90" spans="2:8" ht="15.75" thickBot="1" x14ac:dyDescent="0.3">
      <c r="C90" s="195" t="s">
        <v>88</v>
      </c>
      <c r="D90" s="195" t="s">
        <v>118</v>
      </c>
      <c r="G90" t="s">
        <v>838</v>
      </c>
    </row>
    <row r="91" spans="2:8" x14ac:dyDescent="0.25">
      <c r="B91" s="440" t="s">
        <v>902</v>
      </c>
      <c r="C91" s="637">
        <v>5.41</v>
      </c>
      <c r="D91" s="637">
        <v>5.25</v>
      </c>
      <c r="E91" s="538" t="s">
        <v>82</v>
      </c>
    </row>
    <row r="92" spans="2:8" x14ac:dyDescent="0.25">
      <c r="B92" s="443" t="s">
        <v>903</v>
      </c>
      <c r="C92" s="638">
        <v>2.2999999999999998</v>
      </c>
      <c r="D92" s="638">
        <v>5.93</v>
      </c>
      <c r="E92" s="539" t="s">
        <v>82</v>
      </c>
      <c r="G92" t="s">
        <v>839</v>
      </c>
      <c r="H92" t="s">
        <v>118</v>
      </c>
    </row>
    <row r="93" spans="2:8" x14ac:dyDescent="0.25">
      <c r="B93" s="443" t="s">
        <v>105</v>
      </c>
      <c r="C93" s="638"/>
      <c r="D93" s="638">
        <v>19.13</v>
      </c>
      <c r="E93" s="539" t="s">
        <v>82</v>
      </c>
      <c r="F93" t="s">
        <v>920</v>
      </c>
      <c r="G93" s="642">
        <f>C92/C95</f>
        <v>0.29831387808041504</v>
      </c>
      <c r="H93" s="642">
        <f>(D92+D94)/D95</f>
        <v>0.20112960605271527</v>
      </c>
    </row>
    <row r="94" spans="2:8" x14ac:dyDescent="0.25">
      <c r="B94" s="443" t="s">
        <v>901</v>
      </c>
      <c r="C94" s="638"/>
      <c r="D94" s="638">
        <v>0.41000000000000003</v>
      </c>
      <c r="E94" s="539" t="s">
        <v>82</v>
      </c>
      <c r="F94" t="s">
        <v>921</v>
      </c>
      <c r="G94" s="639">
        <f>C96/C96</f>
        <v>1</v>
      </c>
      <c r="H94" s="642">
        <f>(D92+D94)/D96</f>
        <v>0.24132189894747821</v>
      </c>
    </row>
    <row r="95" spans="2:8" x14ac:dyDescent="0.25">
      <c r="B95" s="443" t="s">
        <v>904</v>
      </c>
      <c r="C95" s="638">
        <f>(C91+C92)</f>
        <v>7.71</v>
      </c>
      <c r="D95" s="638">
        <f>(D92+D94)*1.015^8+(D91+D93)</f>
        <v>31.521962999014235</v>
      </c>
      <c r="E95" s="539" t="s">
        <v>82</v>
      </c>
    </row>
    <row r="96" spans="2:8" ht="15.75" thickBot="1" x14ac:dyDescent="0.3">
      <c r="B96" s="446" t="s">
        <v>917</v>
      </c>
      <c r="C96" s="643">
        <f>C92</f>
        <v>2.2999999999999998</v>
      </c>
      <c r="D96" s="643">
        <f>D95-D91</f>
        <v>26.271962999014235</v>
      </c>
      <c r="E96" s="540" t="s">
        <v>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50"/>
  <sheetViews>
    <sheetView topLeftCell="G40" workbookViewId="0">
      <selection activeCell="R42" sqref="R42:R45"/>
    </sheetView>
  </sheetViews>
  <sheetFormatPr defaultRowHeight="15" x14ac:dyDescent="0.25"/>
  <cols>
    <col min="3" max="3" width="28.85546875" bestFit="1" customWidth="1"/>
    <col min="5" max="5" width="14.42578125" customWidth="1"/>
    <col min="10" max="10" width="28.85546875" bestFit="1" customWidth="1"/>
    <col min="12" max="12" width="14.7109375" customWidth="1"/>
    <col min="17" max="17" width="28.85546875" bestFit="1" customWidth="1"/>
    <col min="19" max="19" width="14.42578125" customWidth="1"/>
  </cols>
  <sheetData>
    <row r="1" spans="3:22" x14ac:dyDescent="0.25">
      <c r="C1" s="430" t="s">
        <v>911</v>
      </c>
    </row>
    <row r="4" spans="3:22" x14ac:dyDescent="0.25">
      <c r="C4">
        <v>2017</v>
      </c>
      <c r="J4">
        <v>2040</v>
      </c>
      <c r="Q4" t="s">
        <v>941</v>
      </c>
    </row>
    <row r="7" spans="3:22" ht="26.25" x14ac:dyDescent="0.4">
      <c r="C7" s="436" t="s">
        <v>732</v>
      </c>
      <c r="J7" s="436" t="s">
        <v>732</v>
      </c>
      <c r="Q7" s="436" t="s">
        <v>732</v>
      </c>
    </row>
    <row r="8" spans="3:22" x14ac:dyDescent="0.25">
      <c r="H8" t="s">
        <v>940</v>
      </c>
      <c r="O8" t="s">
        <v>940</v>
      </c>
      <c r="V8" t="s">
        <v>940</v>
      </c>
    </row>
    <row r="9" spans="3:22" x14ac:dyDescent="0.25">
      <c r="D9" t="s">
        <v>936</v>
      </c>
      <c r="E9" t="s">
        <v>938</v>
      </c>
      <c r="F9" t="s">
        <v>939</v>
      </c>
      <c r="G9" t="s">
        <v>937</v>
      </c>
      <c r="K9" t="s">
        <v>936</v>
      </c>
      <c r="L9" t="s">
        <v>938</v>
      </c>
      <c r="M9" t="s">
        <v>939</v>
      </c>
      <c r="N9" t="s">
        <v>937</v>
      </c>
      <c r="R9" t="s">
        <v>936</v>
      </c>
      <c r="S9" t="s">
        <v>938</v>
      </c>
      <c r="T9" t="s">
        <v>939</v>
      </c>
      <c r="U9" t="s">
        <v>937</v>
      </c>
    </row>
    <row r="10" spans="3:22" x14ac:dyDescent="0.25">
      <c r="C10" t="s">
        <v>731</v>
      </c>
      <c r="D10">
        <v>1.1399999999999999</v>
      </c>
      <c r="E10">
        <v>0.12</v>
      </c>
      <c r="F10">
        <v>4.67</v>
      </c>
      <c r="G10">
        <v>0.8</v>
      </c>
      <c r="H10" s="701">
        <f>SUM(D10:G10)</f>
        <v>6.7299999999999995</v>
      </c>
      <c r="J10" t="s">
        <v>731</v>
      </c>
      <c r="K10">
        <v>1.18</v>
      </c>
      <c r="L10">
        <v>0.08</v>
      </c>
      <c r="M10">
        <v>0.96</v>
      </c>
      <c r="N10">
        <v>0.8</v>
      </c>
      <c r="O10" s="701">
        <f>SUM(K10:N10)</f>
        <v>3.0199999999999996</v>
      </c>
      <c r="Q10" t="s">
        <v>731</v>
      </c>
      <c r="R10">
        <f>(D10+K10)/2</f>
        <v>1.1599999999999999</v>
      </c>
      <c r="S10">
        <f>(E10+L10)/2</f>
        <v>0.1</v>
      </c>
      <c r="T10">
        <f>(F10+M10)/2</f>
        <v>2.8149999999999999</v>
      </c>
      <c r="U10">
        <f>(G10+N10)/2</f>
        <v>0.8</v>
      </c>
      <c r="V10" s="701">
        <f>(H10+O10)/2</f>
        <v>4.875</v>
      </c>
    </row>
    <row r="11" spans="3:22" x14ac:dyDescent="0.25">
      <c r="C11" t="s">
        <v>105</v>
      </c>
      <c r="H11">
        <v>4.67</v>
      </c>
      <c r="J11" t="s">
        <v>105</v>
      </c>
      <c r="O11">
        <v>0.96</v>
      </c>
      <c r="Q11" t="s">
        <v>105</v>
      </c>
      <c r="V11">
        <f>(H11+O11)/2</f>
        <v>2.8149999999999999</v>
      </c>
    </row>
    <row r="12" spans="3:22" x14ac:dyDescent="0.25">
      <c r="C12" t="s">
        <v>725</v>
      </c>
      <c r="H12">
        <v>0.8</v>
      </c>
      <c r="J12" t="s">
        <v>725</v>
      </c>
      <c r="O12">
        <v>0.8</v>
      </c>
      <c r="Q12" t="s">
        <v>725</v>
      </c>
      <c r="V12">
        <f>(H12+O12)/2</f>
        <v>0.8</v>
      </c>
    </row>
    <row r="15" spans="3:22" ht="27" thickBot="1" x14ac:dyDescent="0.45">
      <c r="C15" s="436" t="s">
        <v>733</v>
      </c>
      <c r="J15" s="436" t="s">
        <v>733</v>
      </c>
      <c r="Q15" s="436" t="s">
        <v>733</v>
      </c>
    </row>
    <row r="16" spans="3:22" x14ac:dyDescent="0.25">
      <c r="C16" s="440" t="s">
        <v>725</v>
      </c>
      <c r="D16">
        <v>3.5000000000000003E-2</v>
      </c>
      <c r="J16" s="440" t="s">
        <v>725</v>
      </c>
      <c r="K16">
        <v>3.5000000000000003E-2</v>
      </c>
      <c r="Q16" s="440" t="s">
        <v>725</v>
      </c>
      <c r="R16">
        <f>(D16+K16)/2</f>
        <v>3.5000000000000003E-2</v>
      </c>
    </row>
    <row r="17" spans="3:19" x14ac:dyDescent="0.25">
      <c r="C17" s="443" t="s">
        <v>727</v>
      </c>
      <c r="D17">
        <v>2.3E-3</v>
      </c>
      <c r="J17" s="443" t="s">
        <v>727</v>
      </c>
      <c r="K17">
        <v>2.3E-3</v>
      </c>
      <c r="Q17" s="443" t="s">
        <v>727</v>
      </c>
      <c r="R17">
        <f t="shared" ref="R17:R18" si="0">(D17+K17)/2</f>
        <v>2.3E-3</v>
      </c>
    </row>
    <row r="18" spans="3:19" x14ac:dyDescent="0.25">
      <c r="C18" s="537" t="s">
        <v>105</v>
      </c>
      <c r="D18">
        <v>0.23</v>
      </c>
      <c r="J18" s="537" t="s">
        <v>105</v>
      </c>
      <c r="K18">
        <v>0.23</v>
      </c>
      <c r="Q18" s="537" t="s">
        <v>105</v>
      </c>
      <c r="R18">
        <f t="shared" si="0"/>
        <v>0.23</v>
      </c>
    </row>
    <row r="19" spans="3:19" x14ac:dyDescent="0.25">
      <c r="C19" s="443" t="s">
        <v>901</v>
      </c>
      <c r="D19">
        <v>4.3E-3</v>
      </c>
      <c r="J19" s="443" t="s">
        <v>901</v>
      </c>
      <c r="K19">
        <v>1.2999999999999999E-3</v>
      </c>
      <c r="Q19" s="443" t="s">
        <v>901</v>
      </c>
      <c r="R19">
        <f>(D19+K19)/2</f>
        <v>2.8E-3</v>
      </c>
    </row>
    <row r="22" spans="3:19" ht="23.25" x14ac:dyDescent="0.35">
      <c r="C22" s="472" t="s">
        <v>735</v>
      </c>
      <c r="J22" s="472" t="s">
        <v>735</v>
      </c>
      <c r="Q22" s="472" t="s">
        <v>735</v>
      </c>
    </row>
    <row r="24" spans="3:19" x14ac:dyDescent="0.25">
      <c r="C24" t="s">
        <v>725</v>
      </c>
      <c r="D24">
        <v>0.04</v>
      </c>
      <c r="J24" t="s">
        <v>725</v>
      </c>
      <c r="K24">
        <v>0.04</v>
      </c>
      <c r="Q24" t="s">
        <v>725</v>
      </c>
      <c r="R24">
        <f>(D24+K24)/2</f>
        <v>0.04</v>
      </c>
    </row>
    <row r="25" spans="3:19" x14ac:dyDescent="0.25">
      <c r="C25" t="s">
        <v>736</v>
      </c>
      <c r="D25">
        <v>0.13</v>
      </c>
      <c r="J25" t="s">
        <v>736</v>
      </c>
      <c r="K25">
        <v>0.12</v>
      </c>
      <c r="Q25" t="s">
        <v>736</v>
      </c>
      <c r="R25">
        <f t="shared" ref="R25:R27" si="1">(D25+K25)/2</f>
        <v>0.125</v>
      </c>
    </row>
    <row r="26" spans="3:19" x14ac:dyDescent="0.25">
      <c r="C26" t="s">
        <v>105</v>
      </c>
      <c r="D26">
        <v>1.0129999999999999</v>
      </c>
      <c r="J26" t="s">
        <v>105</v>
      </c>
      <c r="K26">
        <v>7.0000000000000007E-2</v>
      </c>
      <c r="Q26" t="s">
        <v>105</v>
      </c>
      <c r="R26">
        <f t="shared" si="1"/>
        <v>0.54149999999999998</v>
      </c>
    </row>
    <row r="27" spans="3:19" x14ac:dyDescent="0.25">
      <c r="C27" t="s">
        <v>727</v>
      </c>
      <c r="D27">
        <v>0.39</v>
      </c>
      <c r="J27" t="s">
        <v>727</v>
      </c>
      <c r="K27">
        <v>0.39</v>
      </c>
      <c r="Q27" t="s">
        <v>727</v>
      </c>
      <c r="R27">
        <f t="shared" si="1"/>
        <v>0.39</v>
      </c>
    </row>
    <row r="29" spans="3:19" ht="26.25" x14ac:dyDescent="0.4">
      <c r="C29" s="436" t="s">
        <v>737</v>
      </c>
      <c r="J29" s="436" t="s">
        <v>737</v>
      </c>
      <c r="Q29" s="436" t="s">
        <v>737</v>
      </c>
    </row>
    <row r="32" spans="3:19" ht="15.75" thickBot="1" x14ac:dyDescent="0.3">
      <c r="D32" s="195" t="s">
        <v>88</v>
      </c>
      <c r="E32" s="195" t="s">
        <v>118</v>
      </c>
      <c r="K32" s="195" t="s">
        <v>88</v>
      </c>
      <c r="L32" s="195" t="s">
        <v>118</v>
      </c>
      <c r="R32" s="195" t="s">
        <v>88</v>
      </c>
      <c r="S32" s="195" t="s">
        <v>118</v>
      </c>
    </row>
    <row r="33" spans="3:19" x14ac:dyDescent="0.25">
      <c r="C33" s="440" t="s">
        <v>902</v>
      </c>
      <c r="D33">
        <v>5.41</v>
      </c>
      <c r="E33">
        <v>5.25</v>
      </c>
      <c r="J33" s="440" t="s">
        <v>902</v>
      </c>
      <c r="K33">
        <v>5.41</v>
      </c>
      <c r="L33">
        <v>5.25</v>
      </c>
      <c r="Q33" s="440" t="s">
        <v>902</v>
      </c>
      <c r="R33">
        <f t="shared" ref="R33:S33" si="2">(D33+K33)/2</f>
        <v>5.41</v>
      </c>
      <c r="S33">
        <f t="shared" si="2"/>
        <v>5.25</v>
      </c>
    </row>
    <row r="34" spans="3:19" x14ac:dyDescent="0.25">
      <c r="C34" s="443" t="s">
        <v>903</v>
      </c>
      <c r="D34">
        <v>2.2999999999999998</v>
      </c>
      <c r="E34">
        <v>5.93</v>
      </c>
      <c r="J34" s="443" t="s">
        <v>903</v>
      </c>
      <c r="K34">
        <v>2.2999999999999998</v>
      </c>
      <c r="L34">
        <v>5.93</v>
      </c>
      <c r="Q34" s="443" t="s">
        <v>903</v>
      </c>
      <c r="R34">
        <f t="shared" ref="R34:R36" si="3">(D34+K34)/2</f>
        <v>2.2999999999999998</v>
      </c>
      <c r="S34">
        <f t="shared" ref="S34:S36" si="4">(E34+L34)/2</f>
        <v>5.93</v>
      </c>
    </row>
    <row r="35" spans="3:19" x14ac:dyDescent="0.25">
      <c r="C35" s="443" t="s">
        <v>105</v>
      </c>
      <c r="E35">
        <v>19.13</v>
      </c>
      <c r="J35" s="443" t="s">
        <v>105</v>
      </c>
      <c r="L35">
        <v>19.13</v>
      </c>
      <c r="Q35" s="443" t="s">
        <v>105</v>
      </c>
      <c r="R35">
        <f t="shared" si="3"/>
        <v>0</v>
      </c>
      <c r="S35">
        <f t="shared" si="4"/>
        <v>19.13</v>
      </c>
    </row>
    <row r="36" spans="3:19" x14ac:dyDescent="0.25">
      <c r="C36" s="443" t="s">
        <v>901</v>
      </c>
      <c r="E36">
        <v>0.76</v>
      </c>
      <c r="J36" s="443" t="s">
        <v>901</v>
      </c>
      <c r="L36">
        <v>0.06</v>
      </c>
      <c r="Q36" s="443" t="s">
        <v>901</v>
      </c>
      <c r="R36">
        <f t="shared" si="3"/>
        <v>0</v>
      </c>
      <c r="S36">
        <f t="shared" si="4"/>
        <v>0.41000000000000003</v>
      </c>
    </row>
    <row r="40" spans="3:19" ht="26.25" x14ac:dyDescent="0.4">
      <c r="C40" s="436" t="s">
        <v>741</v>
      </c>
      <c r="J40" s="436" t="s">
        <v>741</v>
      </c>
      <c r="Q40" s="436" t="s">
        <v>741</v>
      </c>
    </row>
    <row r="42" spans="3:19" x14ac:dyDescent="0.25">
      <c r="C42" t="s">
        <v>725</v>
      </c>
      <c r="D42">
        <v>0.4</v>
      </c>
      <c r="J42" t="s">
        <v>725</v>
      </c>
      <c r="K42" s="639">
        <v>0.4</v>
      </c>
      <c r="Q42" t="s">
        <v>725</v>
      </c>
      <c r="R42">
        <f t="shared" ref="R42:R45" si="5">(D42+K42)/2</f>
        <v>0.4</v>
      </c>
    </row>
    <row r="43" spans="3:19" x14ac:dyDescent="0.25">
      <c r="C43" t="s">
        <v>736</v>
      </c>
      <c r="D43">
        <v>0.08</v>
      </c>
      <c r="J43" t="s">
        <v>736</v>
      </c>
      <c r="K43" s="639">
        <v>0.08</v>
      </c>
      <c r="Q43" t="s">
        <v>736</v>
      </c>
      <c r="R43">
        <f t="shared" si="5"/>
        <v>0.08</v>
      </c>
    </row>
    <row r="44" spans="3:19" x14ac:dyDescent="0.25">
      <c r="C44" t="s">
        <v>105</v>
      </c>
      <c r="D44">
        <v>0.75</v>
      </c>
      <c r="J44" t="s">
        <v>105</v>
      </c>
      <c r="K44" s="639">
        <v>0</v>
      </c>
      <c r="Q44" t="s">
        <v>105</v>
      </c>
      <c r="R44">
        <f t="shared" si="5"/>
        <v>0.375</v>
      </c>
    </row>
    <row r="45" spans="3:19" x14ac:dyDescent="0.25">
      <c r="C45" t="s">
        <v>727</v>
      </c>
      <c r="D45">
        <v>0.39</v>
      </c>
      <c r="J45" t="s">
        <v>727</v>
      </c>
      <c r="K45" s="639">
        <v>0.39</v>
      </c>
      <c r="Q45" t="s">
        <v>727</v>
      </c>
      <c r="R45">
        <f t="shared" si="5"/>
        <v>0.39</v>
      </c>
    </row>
    <row r="50" spans="3:18" x14ac:dyDescent="0.25">
      <c r="C50" t="s">
        <v>896</v>
      </c>
      <c r="D50">
        <v>0.56000000000000005</v>
      </c>
      <c r="J50" t="s">
        <v>896</v>
      </c>
      <c r="K50">
        <v>0.33</v>
      </c>
      <c r="Q50" t="s">
        <v>896</v>
      </c>
      <c r="R50">
        <f>(D50+K50)/2</f>
        <v>0.44500000000000006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4"/>
  <sheetViews>
    <sheetView topLeftCell="G43" workbookViewId="0">
      <selection activeCell="K3" sqref="K3"/>
    </sheetView>
  </sheetViews>
  <sheetFormatPr defaultRowHeight="15" x14ac:dyDescent="0.25"/>
  <cols>
    <col min="1" max="1" width="17.85546875" customWidth="1"/>
    <col min="2" max="2" width="33.5703125" bestFit="1" customWidth="1"/>
    <col min="3" max="3" width="23" bestFit="1" customWidth="1"/>
    <col min="5" max="5" width="7.42578125" bestFit="1" customWidth="1"/>
    <col min="6" max="6" width="4.140625" customWidth="1"/>
    <col min="7" max="7" width="9.140625" style="506"/>
    <col min="8" max="8" width="43.28515625" customWidth="1"/>
    <col min="9" max="9" width="27.7109375" customWidth="1"/>
    <col min="10" max="10" width="10" customWidth="1"/>
    <col min="11" max="11" width="37.7109375" customWidth="1"/>
    <col min="12" max="12" width="27.28515625" customWidth="1"/>
    <col min="13" max="13" width="68.5703125" customWidth="1"/>
    <col min="14" max="14" width="20.28515625" customWidth="1"/>
    <col min="15" max="15" width="6" bestFit="1" customWidth="1"/>
  </cols>
  <sheetData>
    <row r="1" spans="1:16" x14ac:dyDescent="0.25">
      <c r="A1" s="241" t="s">
        <v>773</v>
      </c>
      <c r="G1" s="2"/>
    </row>
    <row r="2" spans="1:16" x14ac:dyDescent="0.25">
      <c r="A2" s="504"/>
      <c r="B2" s="504"/>
      <c r="C2" s="504"/>
      <c r="D2" s="504"/>
      <c r="E2" s="504"/>
      <c r="F2" s="504"/>
      <c r="G2" s="505"/>
      <c r="H2" s="504"/>
      <c r="I2" s="504"/>
      <c r="J2" s="504"/>
      <c r="K2" s="504"/>
      <c r="L2" s="504"/>
      <c r="M2" s="504"/>
      <c r="N2" s="504"/>
      <c r="O2" s="504"/>
      <c r="P2" s="504"/>
    </row>
    <row r="3" spans="1:16" ht="23.25" x14ac:dyDescent="0.35">
      <c r="A3" s="472" t="s">
        <v>774</v>
      </c>
      <c r="H3" s="472" t="s">
        <v>856</v>
      </c>
      <c r="J3" t="s">
        <v>117</v>
      </c>
      <c r="K3" s="146" t="s">
        <v>856</v>
      </c>
    </row>
    <row r="4" spans="1:16" ht="21" x14ac:dyDescent="0.35">
      <c r="A4" s="241"/>
      <c r="H4" s="473"/>
    </row>
    <row r="5" spans="1:16" ht="18.75" x14ac:dyDescent="0.3">
      <c r="A5" s="507" t="s">
        <v>775</v>
      </c>
      <c r="B5" s="508"/>
      <c r="C5" s="508"/>
      <c r="D5" s="508"/>
      <c r="E5" s="509"/>
      <c r="H5" s="474" t="s">
        <v>748</v>
      </c>
      <c r="I5" s="510"/>
    </row>
    <row r="6" spans="1:16" x14ac:dyDescent="0.25">
      <c r="A6" s="511" t="s">
        <v>776</v>
      </c>
      <c r="B6" s="512" t="s">
        <v>777</v>
      </c>
      <c r="C6" s="512" t="s">
        <v>778</v>
      </c>
      <c r="D6" s="512"/>
      <c r="E6" s="513">
        <v>7.5338117105263155E-2</v>
      </c>
      <c r="H6" s="475" t="s">
        <v>749</v>
      </c>
      <c r="I6" s="514">
        <f>I40</f>
        <v>0.44472222222222219</v>
      </c>
    </row>
    <row r="7" spans="1:16" x14ac:dyDescent="0.25">
      <c r="A7" s="511"/>
      <c r="B7" s="512"/>
      <c r="C7" s="512" t="s">
        <v>779</v>
      </c>
      <c r="D7" s="512"/>
      <c r="E7" s="513">
        <v>1.8834529276315799E-2</v>
      </c>
      <c r="H7" s="476" t="s">
        <v>750</v>
      </c>
      <c r="I7" s="515">
        <f>I41</f>
        <v>0.12590897235263424</v>
      </c>
    </row>
    <row r="8" spans="1:16" x14ac:dyDescent="0.25">
      <c r="A8" s="511"/>
      <c r="B8" s="512"/>
      <c r="C8" s="512"/>
      <c r="D8" s="512"/>
      <c r="E8" s="513"/>
      <c r="H8" s="475"/>
      <c r="I8" s="382"/>
    </row>
    <row r="9" spans="1:16" x14ac:dyDescent="0.25">
      <c r="A9" s="511"/>
      <c r="B9" s="512"/>
      <c r="C9" s="512" t="s">
        <v>780</v>
      </c>
      <c r="D9" s="512"/>
      <c r="E9" s="513">
        <v>0.11051609067505719</v>
      </c>
      <c r="H9" s="477" t="s">
        <v>751</v>
      </c>
      <c r="I9" s="516">
        <f>I51+I73</f>
        <v>22.197222222222223</v>
      </c>
    </row>
    <row r="10" spans="1:16" x14ac:dyDescent="0.25">
      <c r="A10" s="511"/>
      <c r="B10" s="512"/>
      <c r="C10" s="512" t="s">
        <v>781</v>
      </c>
      <c r="D10" s="512"/>
      <c r="E10" s="513">
        <v>2.7629022668764297E-2</v>
      </c>
      <c r="H10" s="476" t="s">
        <v>752</v>
      </c>
      <c r="I10" s="517">
        <f>I52+I74</f>
        <v>4.2772222222222229</v>
      </c>
    </row>
    <row r="11" spans="1:16" x14ac:dyDescent="0.25">
      <c r="A11" s="511"/>
      <c r="B11" s="512" t="s">
        <v>782</v>
      </c>
      <c r="C11" s="512" t="s">
        <v>783</v>
      </c>
      <c r="D11" s="512"/>
      <c r="E11" s="513">
        <v>0</v>
      </c>
    </row>
    <row r="12" spans="1:16" ht="21" x14ac:dyDescent="0.35">
      <c r="A12" s="511"/>
      <c r="B12" s="511" t="s">
        <v>784</v>
      </c>
      <c r="C12" s="511" t="s">
        <v>785</v>
      </c>
      <c r="D12" s="511"/>
      <c r="E12" s="518">
        <v>4.8667629433002804E-2</v>
      </c>
      <c r="H12" s="473"/>
    </row>
    <row r="13" spans="1:16" x14ac:dyDescent="0.25">
      <c r="A13" s="511"/>
      <c r="B13" s="511"/>
      <c r="C13" s="511" t="s">
        <v>786</v>
      </c>
      <c r="D13" s="511"/>
      <c r="E13" s="518">
        <v>1.2166907358250701E-2</v>
      </c>
      <c r="H13" s="241" t="s">
        <v>753</v>
      </c>
    </row>
    <row r="14" spans="1:16" x14ac:dyDescent="0.25">
      <c r="A14" s="519"/>
      <c r="B14" s="519" t="s">
        <v>787</v>
      </c>
      <c r="C14" s="519"/>
      <c r="D14" s="519"/>
      <c r="E14" s="521">
        <f>SUM(E6:E13)</f>
        <v>0.29315229651665398</v>
      </c>
      <c r="H14" s="478"/>
      <c r="I14" s="14"/>
    </row>
    <row r="15" spans="1:16" x14ac:dyDescent="0.25">
      <c r="A15" s="519"/>
      <c r="B15" s="519"/>
      <c r="C15" s="519"/>
      <c r="D15" s="519"/>
      <c r="E15" s="520"/>
      <c r="H15" s="476" t="s">
        <v>754</v>
      </c>
      <c r="I15" s="479">
        <v>18</v>
      </c>
    </row>
    <row r="16" spans="1:16" x14ac:dyDescent="0.25">
      <c r="A16" s="519" t="s">
        <v>788</v>
      </c>
      <c r="B16" s="519" t="s">
        <v>789</v>
      </c>
      <c r="C16" s="519" t="s">
        <v>790</v>
      </c>
      <c r="D16" s="519"/>
      <c r="E16" s="521">
        <v>0.31186001895384052</v>
      </c>
      <c r="H16" s="522"/>
      <c r="I16" s="14"/>
    </row>
    <row r="17" spans="1:24" x14ac:dyDescent="0.25">
      <c r="A17" s="519"/>
      <c r="B17" s="519"/>
      <c r="C17" s="519" t="s">
        <v>791</v>
      </c>
      <c r="D17" s="519"/>
      <c r="E17" s="520">
        <v>15.778129559035202</v>
      </c>
      <c r="G17" s="506" t="s">
        <v>117</v>
      </c>
    </row>
    <row r="18" spans="1:24" x14ac:dyDescent="0.25">
      <c r="A18" s="519"/>
      <c r="B18" s="519"/>
      <c r="C18" s="519" t="s">
        <v>792</v>
      </c>
      <c r="D18" s="519"/>
      <c r="E18" s="521">
        <v>3.9445323897588005</v>
      </c>
    </row>
    <row r="19" spans="1:24" x14ac:dyDescent="0.25">
      <c r="A19" s="519"/>
      <c r="B19" s="519" t="s">
        <v>793</v>
      </c>
      <c r="C19" s="519"/>
      <c r="D19" s="519"/>
      <c r="E19" s="521">
        <v>20.0345219677478</v>
      </c>
      <c r="K19" t="s">
        <v>858</v>
      </c>
    </row>
    <row r="20" spans="1:24" x14ac:dyDescent="0.25">
      <c r="A20" s="2"/>
      <c r="B20" s="2"/>
      <c r="C20" s="2"/>
      <c r="D20" s="2"/>
      <c r="E20" s="2"/>
      <c r="K20" s="146" t="s">
        <v>854</v>
      </c>
    </row>
    <row r="21" spans="1:24" x14ac:dyDescent="0.25">
      <c r="A21" s="2"/>
      <c r="B21" s="2"/>
      <c r="C21" s="2"/>
      <c r="D21" s="2"/>
      <c r="E21" s="2"/>
      <c r="K21" s="146" t="s">
        <v>853</v>
      </c>
    </row>
    <row r="22" spans="1:24" x14ac:dyDescent="0.25">
      <c r="A22" s="523"/>
      <c r="B22" s="524"/>
      <c r="C22" s="525" t="s">
        <v>794</v>
      </c>
      <c r="D22" s="2"/>
      <c r="E22" s="2"/>
      <c r="K22" s="146"/>
    </row>
    <row r="23" spans="1:24" x14ac:dyDescent="0.25">
      <c r="A23" s="526" t="s">
        <v>795</v>
      </c>
      <c r="B23" s="7" t="s">
        <v>796</v>
      </c>
      <c r="C23" s="527">
        <v>40</v>
      </c>
      <c r="D23" s="2"/>
      <c r="E23" s="2"/>
      <c r="K23" s="146"/>
    </row>
    <row r="24" spans="1:24" x14ac:dyDescent="0.25">
      <c r="A24" s="526" t="s">
        <v>797</v>
      </c>
      <c r="B24" s="7" t="s">
        <v>796</v>
      </c>
      <c r="C24" s="527">
        <v>4122.8</v>
      </c>
      <c r="D24" s="2"/>
      <c r="E24" s="2"/>
      <c r="K24" s="146"/>
    </row>
    <row r="25" spans="1:24" x14ac:dyDescent="0.25">
      <c r="A25" s="526" t="s">
        <v>798</v>
      </c>
      <c r="B25" s="7" t="s">
        <v>796</v>
      </c>
      <c r="C25" s="527">
        <v>120000</v>
      </c>
      <c r="D25" s="2"/>
      <c r="E25" s="2"/>
      <c r="K25" s="146">
        <v>2.85</v>
      </c>
    </row>
    <row r="26" spans="1:24" x14ac:dyDescent="0.25">
      <c r="A26" s="526" t="s">
        <v>799</v>
      </c>
      <c r="B26" s="7" t="s">
        <v>796</v>
      </c>
      <c r="C26" s="527">
        <v>26.22</v>
      </c>
      <c r="D26" s="2"/>
      <c r="E26" s="2"/>
      <c r="K26" s="146">
        <v>1.19</v>
      </c>
    </row>
    <row r="27" spans="1:24" x14ac:dyDescent="0.25">
      <c r="A27" s="526" t="s">
        <v>800</v>
      </c>
      <c r="B27" s="7" t="s">
        <v>796</v>
      </c>
      <c r="C27" s="527">
        <v>20</v>
      </c>
      <c r="D27" s="2"/>
      <c r="E27" s="2"/>
      <c r="K27" s="146">
        <v>0.94</v>
      </c>
      <c r="Q27" t="s">
        <v>858</v>
      </c>
    </row>
    <row r="28" spans="1:24" x14ac:dyDescent="0.25">
      <c r="A28" s="526"/>
      <c r="B28" s="7"/>
      <c r="C28" s="528"/>
      <c r="D28" s="2"/>
      <c r="E28" s="2"/>
      <c r="K28" s="146"/>
      <c r="Q28" s="146" t="s">
        <v>857</v>
      </c>
      <c r="R28" s="146"/>
      <c r="S28" s="146"/>
      <c r="T28" s="146"/>
      <c r="U28" s="146"/>
      <c r="V28" s="146"/>
      <c r="W28" s="146"/>
      <c r="X28" s="146"/>
    </row>
    <row r="29" spans="1:24" x14ac:dyDescent="0.25">
      <c r="A29" s="526"/>
      <c r="B29" s="7"/>
      <c r="C29" s="528"/>
      <c r="D29" s="2"/>
      <c r="E29" s="2"/>
      <c r="K29" s="146">
        <v>1.78</v>
      </c>
      <c r="Q29" s="146"/>
      <c r="R29" s="146" t="s">
        <v>856</v>
      </c>
    </row>
    <row r="30" spans="1:24" x14ac:dyDescent="0.25">
      <c r="A30" s="526"/>
      <c r="B30" s="7"/>
      <c r="C30" s="527" t="s">
        <v>801</v>
      </c>
      <c r="D30" s="2"/>
      <c r="E30" s="2"/>
      <c r="K30" s="602">
        <f>SUM(K25:K29)</f>
        <v>6.7600000000000007</v>
      </c>
      <c r="Q30" s="146"/>
      <c r="R30" s="146"/>
    </row>
    <row r="31" spans="1:24" x14ac:dyDescent="0.25">
      <c r="A31" s="529"/>
      <c r="B31" s="530" t="s">
        <v>802</v>
      </c>
      <c r="C31" s="607">
        <f>E6+E7+E10+E13</f>
        <v>0.13396857640859397</v>
      </c>
      <c r="D31" s="2"/>
      <c r="E31" s="2"/>
      <c r="M31" s="241"/>
      <c r="Q31" s="146"/>
      <c r="R31" s="146"/>
    </row>
    <row r="32" spans="1:24" x14ac:dyDescent="0.25">
      <c r="H32" s="143" t="s">
        <v>803</v>
      </c>
      <c r="M32" s="382" t="s">
        <v>804</v>
      </c>
      <c r="N32" s="589">
        <v>12.3</v>
      </c>
      <c r="Q32" s="146"/>
      <c r="R32" s="146">
        <v>12.3</v>
      </c>
    </row>
    <row r="33" spans="8:18" x14ac:dyDescent="0.25">
      <c r="H33" s="382"/>
      <c r="I33" s="477" t="s">
        <v>805</v>
      </c>
      <c r="J33" s="477" t="s">
        <v>806</v>
      </c>
      <c r="K33" s="477" t="s">
        <v>807</v>
      </c>
      <c r="M33" s="531" t="s">
        <v>808</v>
      </c>
      <c r="N33" s="589">
        <v>6.87</v>
      </c>
      <c r="Q33" s="146"/>
      <c r="R33" s="146">
        <v>6.87</v>
      </c>
    </row>
    <row r="34" spans="8:18" x14ac:dyDescent="0.25">
      <c r="H34" s="475" t="s">
        <v>809</v>
      </c>
      <c r="I34" s="589">
        <v>2.85</v>
      </c>
      <c r="J34" s="532" t="s">
        <v>810</v>
      </c>
      <c r="K34" s="517">
        <f>IF(J34="Ja",I34*1.25,I34)</f>
        <v>3.5625</v>
      </c>
      <c r="M34" s="382" t="s">
        <v>811</v>
      </c>
      <c r="N34" s="517">
        <f>N33/(N32+N33)</f>
        <v>0.35837245696400621</v>
      </c>
      <c r="Q34" s="146"/>
      <c r="R34" s="606">
        <f>R33/(R33+R32)</f>
        <v>0.35837245696400621</v>
      </c>
    </row>
    <row r="35" spans="8:18" x14ac:dyDescent="0.25">
      <c r="H35" s="475" t="s">
        <v>812</v>
      </c>
      <c r="I35" s="589">
        <v>1.19</v>
      </c>
      <c r="J35" s="532" t="s">
        <v>810</v>
      </c>
      <c r="K35" s="517">
        <f>IF(J35="Ja",I35*1.25,I35)</f>
        <v>1.4874999999999998</v>
      </c>
    </row>
    <row r="36" spans="8:18" x14ac:dyDescent="0.25">
      <c r="H36" s="475" t="s">
        <v>813</v>
      </c>
      <c r="I36" s="589">
        <v>0.94</v>
      </c>
      <c r="J36" s="532" t="s">
        <v>810</v>
      </c>
      <c r="K36" s="517">
        <f>IF(J36="Ja",I36*1.25,I36)</f>
        <v>1.1749999999999998</v>
      </c>
    </row>
    <row r="37" spans="8:18" ht="30" x14ac:dyDescent="0.25">
      <c r="H37" s="533" t="s">
        <v>814</v>
      </c>
      <c r="I37" s="589">
        <v>1.78</v>
      </c>
      <c r="J37" s="532" t="s">
        <v>815</v>
      </c>
      <c r="K37" s="517">
        <f>IF(J37="Ja",I37*1.25,I37)</f>
        <v>1.78</v>
      </c>
    </row>
    <row r="38" spans="8:18" x14ac:dyDescent="0.25">
      <c r="H38" s="475" t="s">
        <v>106</v>
      </c>
      <c r="I38" s="382">
        <f>SUM(I34:I37)</f>
        <v>6.7600000000000007</v>
      </c>
      <c r="J38" s="382"/>
      <c r="K38" s="517">
        <f>SUM(K34:K37)</f>
        <v>8.004999999999999</v>
      </c>
    </row>
    <row r="39" spans="8:18" x14ac:dyDescent="0.25">
      <c r="H39" s="143"/>
    </row>
    <row r="40" spans="8:18" x14ac:dyDescent="0.25">
      <c r="H40" s="143" t="s">
        <v>816</v>
      </c>
      <c r="I40" s="608">
        <f>K38/I15</f>
        <v>0.44472222222222219</v>
      </c>
      <c r="J40" s="241"/>
    </row>
    <row r="41" spans="8:18" x14ac:dyDescent="0.25">
      <c r="H41" s="143" t="s">
        <v>750</v>
      </c>
      <c r="I41" s="608">
        <f>(I34*N34/I15)+((K38-I38)/I15)</f>
        <v>0.12590897235263424</v>
      </c>
      <c r="K41" t="s">
        <v>858</v>
      </c>
    </row>
    <row r="42" spans="8:18" x14ac:dyDescent="0.25">
      <c r="K42" s="146" t="s">
        <v>854</v>
      </c>
    </row>
    <row r="43" spans="8:18" x14ac:dyDescent="0.25">
      <c r="K43" s="146" t="s">
        <v>853</v>
      </c>
    </row>
    <row r="44" spans="8:18" x14ac:dyDescent="0.25">
      <c r="K44" s="146"/>
    </row>
    <row r="45" spans="8:18" x14ac:dyDescent="0.25">
      <c r="K45" s="146">
        <v>245</v>
      </c>
    </row>
    <row r="46" spans="8:18" x14ac:dyDescent="0.25">
      <c r="K46" s="146">
        <v>245</v>
      </c>
    </row>
    <row r="48" spans="8:18" ht="30" x14ac:dyDescent="0.25">
      <c r="H48" s="382"/>
      <c r="I48" s="534" t="s">
        <v>817</v>
      </c>
      <c r="J48" s="477" t="s">
        <v>806</v>
      </c>
      <c r="K48" s="477" t="s">
        <v>818</v>
      </c>
    </row>
    <row r="49" spans="8:11" x14ac:dyDescent="0.25">
      <c r="H49" s="535" t="s">
        <v>819</v>
      </c>
      <c r="I49" s="589">
        <v>245</v>
      </c>
      <c r="J49" s="532" t="s">
        <v>810</v>
      </c>
      <c r="K49" s="536">
        <f>IF(J49="Ja",I49*1.25,I49)</f>
        <v>306.25</v>
      </c>
    </row>
    <row r="51" spans="8:11" x14ac:dyDescent="0.25">
      <c r="H51" s="143" t="s">
        <v>820</v>
      </c>
      <c r="I51" s="606">
        <f>K49/I15</f>
        <v>17.013888888888889</v>
      </c>
      <c r="J51" s="241"/>
    </row>
    <row r="52" spans="8:11" x14ac:dyDescent="0.25">
      <c r="H52" s="143" t="s">
        <v>752</v>
      </c>
      <c r="I52" s="606">
        <f>(K49-I49)/I15</f>
        <v>3.4027777777777777</v>
      </c>
    </row>
    <row r="53" spans="8:11" x14ac:dyDescent="0.25">
      <c r="K53" t="s">
        <v>858</v>
      </c>
    </row>
    <row r="54" spans="8:11" x14ac:dyDescent="0.25">
      <c r="K54" s="146" t="s">
        <v>854</v>
      </c>
    </row>
    <row r="55" spans="8:11" x14ac:dyDescent="0.25">
      <c r="K55" s="146" t="s">
        <v>853</v>
      </c>
    </row>
    <row r="56" spans="8:11" x14ac:dyDescent="0.25">
      <c r="K56" s="146">
        <v>31.16</v>
      </c>
    </row>
    <row r="57" spans="8:11" x14ac:dyDescent="0.25">
      <c r="K57" s="146"/>
    </row>
    <row r="58" spans="8:11" x14ac:dyDescent="0.25">
      <c r="K58" s="146">
        <v>7.95</v>
      </c>
    </row>
    <row r="59" spans="8:11" x14ac:dyDescent="0.25">
      <c r="K59" s="146"/>
    </row>
    <row r="60" spans="8:11" x14ac:dyDescent="0.25">
      <c r="K60" s="146">
        <v>27.33</v>
      </c>
    </row>
    <row r="61" spans="8:11" x14ac:dyDescent="0.25">
      <c r="K61" s="146">
        <v>19.07</v>
      </c>
    </row>
    <row r="62" spans="8:11" x14ac:dyDescent="0.25">
      <c r="K62" s="602">
        <f>SUM(K56:K61)</f>
        <v>85.509999999999991</v>
      </c>
    </row>
    <row r="63" spans="8:11" ht="15" customHeight="1" x14ac:dyDescent="0.25"/>
    <row r="65" spans="8:11" x14ac:dyDescent="0.25">
      <c r="H65" s="143" t="s">
        <v>803</v>
      </c>
    </row>
    <row r="66" spans="8:11" ht="30" x14ac:dyDescent="0.25">
      <c r="H66" s="382"/>
      <c r="I66" s="534" t="s">
        <v>817</v>
      </c>
      <c r="J66" s="477" t="s">
        <v>806</v>
      </c>
      <c r="K66" s="477" t="s">
        <v>818</v>
      </c>
    </row>
    <row r="67" spans="8:11" ht="30" x14ac:dyDescent="0.25">
      <c r="H67" s="535" t="s">
        <v>821</v>
      </c>
      <c r="I67" s="589">
        <v>31.16</v>
      </c>
      <c r="J67" s="532" t="s">
        <v>810</v>
      </c>
      <c r="K67" s="517">
        <f>IF(J67="Ja",I67*1.25,I67)</f>
        <v>38.950000000000003</v>
      </c>
    </row>
    <row r="68" spans="8:11" ht="30" x14ac:dyDescent="0.25">
      <c r="H68" s="535" t="s">
        <v>822</v>
      </c>
      <c r="I68" s="589">
        <v>7.95</v>
      </c>
      <c r="J68" s="532" t="s">
        <v>815</v>
      </c>
      <c r="K68" s="517">
        <f>IF(J68="Ja",I68*1.25,I68)</f>
        <v>7.95</v>
      </c>
    </row>
    <row r="69" spans="8:11" x14ac:dyDescent="0.25">
      <c r="H69" s="476" t="s">
        <v>823</v>
      </c>
      <c r="I69" s="589">
        <v>27.33</v>
      </c>
      <c r="J69" s="532" t="s">
        <v>815</v>
      </c>
      <c r="K69" s="517">
        <f>IF(J69="Ja",I69*1.25,I69)</f>
        <v>27.33</v>
      </c>
    </row>
    <row r="70" spans="8:11" x14ac:dyDescent="0.25">
      <c r="H70" s="535" t="s">
        <v>824</v>
      </c>
      <c r="I70" s="589">
        <v>19.07</v>
      </c>
      <c r="J70" s="532" t="s">
        <v>815</v>
      </c>
      <c r="K70" s="517">
        <f>IF(J70="Ja",I70*1.25,I70)</f>
        <v>19.07</v>
      </c>
    </row>
    <row r="71" spans="8:11" x14ac:dyDescent="0.25">
      <c r="H71" s="475" t="s">
        <v>106</v>
      </c>
      <c r="I71" s="382">
        <f>SUM(I67:I70)</f>
        <v>85.509999999999991</v>
      </c>
      <c r="J71" s="382"/>
      <c r="K71" s="517">
        <f>SUM(K67:K70)</f>
        <v>93.300000000000011</v>
      </c>
    </row>
    <row r="73" spans="8:11" x14ac:dyDescent="0.25">
      <c r="H73" s="143" t="s">
        <v>820</v>
      </c>
      <c r="I73" s="606">
        <f>K71/I15</f>
        <v>5.1833333333333336</v>
      </c>
      <c r="J73" s="241"/>
    </row>
    <row r="74" spans="8:11" x14ac:dyDescent="0.25">
      <c r="H74" s="143" t="s">
        <v>752</v>
      </c>
      <c r="I74" s="606">
        <f>(I68/I15)+((K71-I71)/I15)</f>
        <v>0.87444444444444558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94"/>
  <sheetViews>
    <sheetView workbookViewId="0">
      <selection activeCell="C18" sqref="C18"/>
    </sheetView>
  </sheetViews>
  <sheetFormatPr defaultColWidth="9.140625" defaultRowHeight="15" x14ac:dyDescent="0.25"/>
  <cols>
    <col min="1" max="1" width="42.28515625" style="20" customWidth="1"/>
    <col min="2" max="2" width="12.42578125" style="20" customWidth="1"/>
    <col min="3" max="3" width="9.140625" style="20"/>
    <col min="4" max="4" width="11.5703125" style="20" bestFit="1" customWidth="1"/>
    <col min="5" max="11" width="9.140625" style="20"/>
    <col min="12" max="12" width="10.28515625" style="20" customWidth="1"/>
    <col min="13" max="16384" width="9.140625" style="20"/>
  </cols>
  <sheetData>
    <row r="1" spans="1:108" ht="18" x14ac:dyDescent="0.25">
      <c r="A1" s="142" t="s">
        <v>710</v>
      </c>
      <c r="B1" s="141"/>
      <c r="C1" s="141"/>
      <c r="D1" s="141"/>
      <c r="E1" s="141"/>
      <c r="F1" s="141"/>
      <c r="G1" s="141"/>
      <c r="H1" s="141"/>
      <c r="I1" s="141"/>
      <c r="J1" s="141"/>
      <c r="K1" s="141"/>
      <c r="L1" s="141"/>
    </row>
    <row r="3" spans="1:108" ht="15.75" x14ac:dyDescent="0.25">
      <c r="A3" s="67" t="s">
        <v>223</v>
      </c>
    </row>
    <row r="4" spans="1:108" x14ac:dyDescent="0.25">
      <c r="A4" s="20" t="s">
        <v>224</v>
      </c>
    </row>
    <row r="5" spans="1:108" x14ac:dyDescent="0.25">
      <c r="A5" s="29">
        <v>60</v>
      </c>
      <c r="C5" s="20" t="s">
        <v>225</v>
      </c>
      <c r="G5" s="20" t="s">
        <v>226</v>
      </c>
      <c r="M5" s="14"/>
      <c r="N5" s="17"/>
    </row>
    <row r="6" spans="1:108" x14ac:dyDescent="0.25">
      <c r="A6" s="20" t="s">
        <v>227</v>
      </c>
      <c r="C6" s="30" t="s">
        <v>228</v>
      </c>
      <c r="G6" s="30" t="s">
        <v>228</v>
      </c>
      <c r="K6" s="31"/>
    </row>
    <row r="7" spans="1:108" x14ac:dyDescent="0.25">
      <c r="A7" s="19">
        <f>'Kalkylvärden 1'!B11</f>
        <v>0</v>
      </c>
      <c r="C7" s="20" t="s">
        <v>743</v>
      </c>
      <c r="D7" s="32">
        <f>Projektspecifikt!B14</f>
        <v>1</v>
      </c>
      <c r="E7" s="20" t="s">
        <v>1</v>
      </c>
      <c r="G7" s="20" t="s">
        <v>743</v>
      </c>
      <c r="H7" s="32">
        <f>Projektspecifikt!E14</f>
        <v>2</v>
      </c>
      <c r="I7" s="20" t="s">
        <v>1</v>
      </c>
    </row>
    <row r="8" spans="1:108" x14ac:dyDescent="0.25">
      <c r="A8" s="20" t="s">
        <v>229</v>
      </c>
      <c r="C8" s="20" t="s">
        <v>744</v>
      </c>
      <c r="D8" s="32">
        <f>Projektspecifikt!B15</f>
        <v>1</v>
      </c>
      <c r="E8" s="20" t="s">
        <v>1</v>
      </c>
      <c r="G8" s="20" t="s">
        <v>744</v>
      </c>
      <c r="H8" s="32">
        <f>Projektspecifikt!E15</f>
        <v>2</v>
      </c>
      <c r="I8" s="20" t="s">
        <v>1</v>
      </c>
    </row>
    <row r="9" spans="1:108" x14ac:dyDescent="0.25">
      <c r="A9" s="665">
        <f>'Kalkylvärden 1'!D9</f>
        <v>3.5</v>
      </c>
      <c r="C9" s="20" t="s">
        <v>745</v>
      </c>
      <c r="D9" s="32">
        <f>Projektspecifikt!B16</f>
        <v>1</v>
      </c>
      <c r="E9" s="20" t="s">
        <v>1</v>
      </c>
      <c r="G9" s="20" t="s">
        <v>745</v>
      </c>
      <c r="H9" s="32">
        <f>Projektspecifikt!E16</f>
        <v>2</v>
      </c>
      <c r="I9" s="20" t="s">
        <v>1</v>
      </c>
    </row>
    <row r="10" spans="1:108" x14ac:dyDescent="0.25">
      <c r="A10" s="20" t="s">
        <v>230</v>
      </c>
    </row>
    <row r="11" spans="1:108" x14ac:dyDescent="0.25">
      <c r="A11" s="665">
        <f>'Kalkylvärden 1'!D10</f>
        <v>1.3</v>
      </c>
      <c r="C11" s="20" t="s">
        <v>231</v>
      </c>
    </row>
    <row r="12" spans="1:108" x14ac:dyDescent="0.25">
      <c r="A12" s="20" t="s">
        <v>232</v>
      </c>
      <c r="C12" s="19">
        <f>'Kalkylvärden 1'!B9</f>
        <v>1.5</v>
      </c>
      <c r="D12" s="20" t="s">
        <v>1</v>
      </c>
    </row>
    <row r="13" spans="1:108" x14ac:dyDescent="0.25">
      <c r="A13" s="19">
        <v>0</v>
      </c>
    </row>
    <row r="15" spans="1:108" x14ac:dyDescent="0.25">
      <c r="A15" s="33" t="s">
        <v>233</v>
      </c>
    </row>
    <row r="16" spans="1:108" x14ac:dyDescent="0.25">
      <c r="A16" s="20" t="s">
        <v>207</v>
      </c>
      <c r="B16" s="20">
        <v>1</v>
      </c>
      <c r="C16" s="20">
        <f>B16+1</f>
        <v>2</v>
      </c>
      <c r="D16" s="20">
        <f t="shared" ref="D16:S17" si="0">C16+1</f>
        <v>3</v>
      </c>
      <c r="E16" s="20">
        <f t="shared" si="0"/>
        <v>4</v>
      </c>
      <c r="F16" s="20">
        <f t="shared" si="0"/>
        <v>5</v>
      </c>
      <c r="G16" s="20">
        <f t="shared" si="0"/>
        <v>6</v>
      </c>
      <c r="H16" s="20">
        <f t="shared" si="0"/>
        <v>7</v>
      </c>
      <c r="I16" s="20">
        <f t="shared" si="0"/>
        <v>8</v>
      </c>
      <c r="J16" s="20">
        <f t="shared" si="0"/>
        <v>9</v>
      </c>
      <c r="K16" s="20">
        <f t="shared" si="0"/>
        <v>10</v>
      </c>
      <c r="L16" s="20">
        <f t="shared" si="0"/>
        <v>11</v>
      </c>
      <c r="M16" s="20">
        <f t="shared" si="0"/>
        <v>12</v>
      </c>
      <c r="N16" s="20">
        <f t="shared" si="0"/>
        <v>13</v>
      </c>
      <c r="O16" s="20">
        <f t="shared" si="0"/>
        <v>14</v>
      </c>
      <c r="P16" s="20">
        <f t="shared" si="0"/>
        <v>15</v>
      </c>
      <c r="Q16" s="20">
        <f t="shared" si="0"/>
        <v>16</v>
      </c>
      <c r="R16" s="20">
        <f t="shared" si="0"/>
        <v>17</v>
      </c>
      <c r="S16" s="20">
        <f t="shared" si="0"/>
        <v>18</v>
      </c>
      <c r="T16" s="20">
        <f t="shared" ref="T16:AI17" si="1">S16+1</f>
        <v>19</v>
      </c>
      <c r="U16" s="20">
        <f t="shared" si="1"/>
        <v>20</v>
      </c>
      <c r="V16" s="20">
        <f t="shared" si="1"/>
        <v>21</v>
      </c>
      <c r="W16" s="20">
        <f t="shared" si="1"/>
        <v>22</v>
      </c>
      <c r="X16" s="20">
        <f t="shared" si="1"/>
        <v>23</v>
      </c>
      <c r="Y16" s="20">
        <f t="shared" si="1"/>
        <v>24</v>
      </c>
      <c r="Z16" s="20">
        <f t="shared" si="1"/>
        <v>25</v>
      </c>
      <c r="AA16" s="20">
        <f t="shared" si="1"/>
        <v>26</v>
      </c>
      <c r="AB16" s="20">
        <f t="shared" si="1"/>
        <v>27</v>
      </c>
      <c r="AC16" s="20">
        <f t="shared" si="1"/>
        <v>28</v>
      </c>
      <c r="AD16" s="20">
        <f t="shared" si="1"/>
        <v>29</v>
      </c>
      <c r="AE16" s="20">
        <f t="shared" si="1"/>
        <v>30</v>
      </c>
      <c r="AF16" s="20">
        <f t="shared" si="1"/>
        <v>31</v>
      </c>
      <c r="AG16" s="20">
        <f t="shared" si="1"/>
        <v>32</v>
      </c>
      <c r="AH16" s="20">
        <f t="shared" si="1"/>
        <v>33</v>
      </c>
      <c r="AI16" s="20">
        <f t="shared" si="1"/>
        <v>34</v>
      </c>
      <c r="AJ16" s="20">
        <f t="shared" ref="AJ16:AY17" si="2">AI16+1</f>
        <v>35</v>
      </c>
      <c r="AK16" s="20">
        <f t="shared" si="2"/>
        <v>36</v>
      </c>
      <c r="AL16" s="20">
        <f t="shared" si="2"/>
        <v>37</v>
      </c>
      <c r="AM16" s="20">
        <f t="shared" si="2"/>
        <v>38</v>
      </c>
      <c r="AN16" s="20">
        <f t="shared" si="2"/>
        <v>39</v>
      </c>
      <c r="AO16" s="20">
        <f t="shared" si="2"/>
        <v>40</v>
      </c>
      <c r="AP16" s="20">
        <f t="shared" si="2"/>
        <v>41</v>
      </c>
      <c r="AQ16" s="20">
        <f t="shared" si="2"/>
        <v>42</v>
      </c>
      <c r="AR16" s="20">
        <f t="shared" si="2"/>
        <v>43</v>
      </c>
      <c r="AS16" s="20">
        <f t="shared" si="2"/>
        <v>44</v>
      </c>
      <c r="AT16" s="20">
        <f t="shared" si="2"/>
        <v>45</v>
      </c>
      <c r="AU16" s="20">
        <f t="shared" si="2"/>
        <v>46</v>
      </c>
      <c r="AV16" s="20">
        <f t="shared" si="2"/>
        <v>47</v>
      </c>
      <c r="AW16" s="20">
        <f t="shared" si="2"/>
        <v>48</v>
      </c>
      <c r="AX16" s="20">
        <f t="shared" si="2"/>
        <v>49</v>
      </c>
      <c r="AY16" s="20">
        <f t="shared" si="2"/>
        <v>50</v>
      </c>
      <c r="AZ16" s="20">
        <f t="shared" ref="AZ16:BO17" si="3">AY16+1</f>
        <v>51</v>
      </c>
      <c r="BA16" s="20">
        <f t="shared" si="3"/>
        <v>52</v>
      </c>
      <c r="BB16" s="20">
        <f t="shared" si="3"/>
        <v>53</v>
      </c>
      <c r="BC16" s="20">
        <f t="shared" si="3"/>
        <v>54</v>
      </c>
      <c r="BD16" s="20">
        <f t="shared" si="3"/>
        <v>55</v>
      </c>
      <c r="BE16" s="20">
        <f t="shared" si="3"/>
        <v>56</v>
      </c>
      <c r="BF16" s="20">
        <f t="shared" si="3"/>
        <v>57</v>
      </c>
      <c r="BG16" s="20">
        <f t="shared" si="3"/>
        <v>58</v>
      </c>
      <c r="BH16" s="20">
        <f t="shared" si="3"/>
        <v>59</v>
      </c>
      <c r="BI16" s="20">
        <f t="shared" si="3"/>
        <v>60</v>
      </c>
      <c r="BJ16" s="20">
        <f t="shared" si="3"/>
        <v>61</v>
      </c>
      <c r="BK16" s="20">
        <f t="shared" si="3"/>
        <v>62</v>
      </c>
      <c r="BL16" s="20">
        <f t="shared" si="3"/>
        <v>63</v>
      </c>
      <c r="BM16" s="20">
        <f t="shared" si="3"/>
        <v>64</v>
      </c>
      <c r="BN16" s="20">
        <f t="shared" si="3"/>
        <v>65</v>
      </c>
      <c r="BO16" s="20">
        <f t="shared" si="3"/>
        <v>66</v>
      </c>
      <c r="BP16" s="20">
        <f t="shared" ref="BP16:CE17" si="4">BO16+1</f>
        <v>67</v>
      </c>
      <c r="BQ16" s="20">
        <f t="shared" si="4"/>
        <v>68</v>
      </c>
      <c r="BR16" s="20">
        <f t="shared" si="4"/>
        <v>69</v>
      </c>
      <c r="BS16" s="20">
        <f t="shared" si="4"/>
        <v>70</v>
      </c>
      <c r="BT16" s="20">
        <f t="shared" si="4"/>
        <v>71</v>
      </c>
      <c r="BU16" s="20">
        <f t="shared" si="4"/>
        <v>72</v>
      </c>
      <c r="BV16" s="20">
        <f t="shared" si="4"/>
        <v>73</v>
      </c>
      <c r="BW16" s="20">
        <f t="shared" si="4"/>
        <v>74</v>
      </c>
      <c r="BX16" s="20">
        <f t="shared" si="4"/>
        <v>75</v>
      </c>
      <c r="BY16" s="20">
        <f t="shared" si="4"/>
        <v>76</v>
      </c>
      <c r="BZ16" s="20">
        <f t="shared" si="4"/>
        <v>77</v>
      </c>
      <c r="CA16" s="20">
        <f t="shared" si="4"/>
        <v>78</v>
      </c>
      <c r="CB16" s="20">
        <f t="shared" si="4"/>
        <v>79</v>
      </c>
      <c r="CC16" s="20">
        <f t="shared" si="4"/>
        <v>80</v>
      </c>
      <c r="CD16" s="20">
        <f t="shared" si="4"/>
        <v>81</v>
      </c>
      <c r="CE16" s="20">
        <f t="shared" si="4"/>
        <v>82</v>
      </c>
      <c r="CF16" s="20">
        <f t="shared" ref="CF16:CU17" si="5">CE16+1</f>
        <v>83</v>
      </c>
      <c r="CG16" s="20">
        <f t="shared" si="5"/>
        <v>84</v>
      </c>
      <c r="CH16" s="20">
        <f t="shared" si="5"/>
        <v>85</v>
      </c>
      <c r="CI16" s="20">
        <f t="shared" si="5"/>
        <v>86</v>
      </c>
      <c r="CJ16" s="20">
        <f t="shared" si="5"/>
        <v>87</v>
      </c>
      <c r="CK16" s="20">
        <f t="shared" si="5"/>
        <v>88</v>
      </c>
      <c r="CL16" s="20">
        <f t="shared" si="5"/>
        <v>89</v>
      </c>
      <c r="CM16" s="20">
        <f t="shared" si="5"/>
        <v>90</v>
      </c>
      <c r="CN16" s="20">
        <f t="shared" si="5"/>
        <v>91</v>
      </c>
      <c r="CO16" s="20">
        <f t="shared" si="5"/>
        <v>92</v>
      </c>
      <c r="CP16" s="20">
        <f t="shared" si="5"/>
        <v>93</v>
      </c>
      <c r="CQ16" s="20">
        <f t="shared" si="5"/>
        <v>94</v>
      </c>
      <c r="CR16" s="20">
        <f t="shared" si="5"/>
        <v>95</v>
      </c>
      <c r="CS16" s="20">
        <f t="shared" si="5"/>
        <v>96</v>
      </c>
      <c r="CT16" s="20">
        <f t="shared" si="5"/>
        <v>97</v>
      </c>
      <c r="CU16" s="20">
        <f t="shared" si="5"/>
        <v>98</v>
      </c>
      <c r="CV16" s="20">
        <f t="shared" ref="CV16:DD17" si="6">CU16+1</f>
        <v>99</v>
      </c>
      <c r="CW16" s="20">
        <f t="shared" si="6"/>
        <v>100</v>
      </c>
      <c r="CX16" s="20">
        <f t="shared" si="6"/>
        <v>101</v>
      </c>
      <c r="CY16" s="20">
        <f t="shared" si="6"/>
        <v>102</v>
      </c>
      <c r="CZ16" s="20">
        <f t="shared" si="6"/>
        <v>103</v>
      </c>
      <c r="DA16" s="20">
        <f t="shared" si="6"/>
        <v>104</v>
      </c>
      <c r="DB16" s="20">
        <f t="shared" si="6"/>
        <v>105</v>
      </c>
      <c r="DC16" s="20">
        <f t="shared" si="6"/>
        <v>106</v>
      </c>
      <c r="DD16" s="20">
        <f t="shared" si="6"/>
        <v>107</v>
      </c>
    </row>
    <row r="17" spans="1:108" x14ac:dyDescent="0.25">
      <c r="A17" s="20" t="s">
        <v>234</v>
      </c>
      <c r="B17" s="20">
        <v>2025</v>
      </c>
      <c r="C17" s="20">
        <f>B17+1</f>
        <v>2026</v>
      </c>
      <c r="D17" s="20">
        <f t="shared" si="0"/>
        <v>2027</v>
      </c>
      <c r="E17" s="20">
        <f t="shared" si="0"/>
        <v>2028</v>
      </c>
      <c r="F17" s="20">
        <f t="shared" si="0"/>
        <v>2029</v>
      </c>
      <c r="G17" s="20">
        <f t="shared" si="0"/>
        <v>2030</v>
      </c>
      <c r="H17" s="20">
        <f t="shared" si="0"/>
        <v>2031</v>
      </c>
      <c r="I17" s="20">
        <f t="shared" si="0"/>
        <v>2032</v>
      </c>
      <c r="J17" s="20">
        <f t="shared" si="0"/>
        <v>2033</v>
      </c>
      <c r="K17" s="20">
        <f t="shared" si="0"/>
        <v>2034</v>
      </c>
      <c r="L17" s="20">
        <f t="shared" si="0"/>
        <v>2035</v>
      </c>
      <c r="M17" s="20">
        <f t="shared" si="0"/>
        <v>2036</v>
      </c>
      <c r="N17" s="20">
        <f t="shared" si="0"/>
        <v>2037</v>
      </c>
      <c r="O17" s="20">
        <f t="shared" si="0"/>
        <v>2038</v>
      </c>
      <c r="P17" s="20">
        <f t="shared" si="0"/>
        <v>2039</v>
      </c>
      <c r="Q17" s="20">
        <f t="shared" si="0"/>
        <v>2040</v>
      </c>
      <c r="R17" s="20">
        <f t="shared" si="0"/>
        <v>2041</v>
      </c>
      <c r="S17" s="20">
        <f t="shared" si="0"/>
        <v>2042</v>
      </c>
      <c r="T17" s="20">
        <f t="shared" si="1"/>
        <v>2043</v>
      </c>
      <c r="U17" s="20">
        <f t="shared" si="1"/>
        <v>2044</v>
      </c>
      <c r="V17" s="20">
        <f t="shared" si="1"/>
        <v>2045</v>
      </c>
      <c r="W17" s="20">
        <f t="shared" si="1"/>
        <v>2046</v>
      </c>
      <c r="X17" s="20">
        <f t="shared" si="1"/>
        <v>2047</v>
      </c>
      <c r="Y17" s="20">
        <f t="shared" si="1"/>
        <v>2048</v>
      </c>
      <c r="Z17" s="20">
        <f t="shared" si="1"/>
        <v>2049</v>
      </c>
      <c r="AA17" s="20">
        <f t="shared" si="1"/>
        <v>2050</v>
      </c>
      <c r="AB17" s="20">
        <f t="shared" si="1"/>
        <v>2051</v>
      </c>
      <c r="AC17" s="20">
        <f t="shared" si="1"/>
        <v>2052</v>
      </c>
      <c r="AD17" s="20">
        <f t="shared" si="1"/>
        <v>2053</v>
      </c>
      <c r="AE17" s="20">
        <f t="shared" si="1"/>
        <v>2054</v>
      </c>
      <c r="AF17" s="20">
        <f t="shared" si="1"/>
        <v>2055</v>
      </c>
      <c r="AG17" s="20">
        <f t="shared" si="1"/>
        <v>2056</v>
      </c>
      <c r="AH17" s="20">
        <f t="shared" si="1"/>
        <v>2057</v>
      </c>
      <c r="AI17" s="20">
        <f t="shared" si="1"/>
        <v>2058</v>
      </c>
      <c r="AJ17" s="20">
        <f t="shared" si="2"/>
        <v>2059</v>
      </c>
      <c r="AK17" s="20">
        <f t="shared" si="2"/>
        <v>2060</v>
      </c>
      <c r="AL17" s="20">
        <f t="shared" si="2"/>
        <v>2061</v>
      </c>
      <c r="AM17" s="20">
        <f t="shared" si="2"/>
        <v>2062</v>
      </c>
      <c r="AN17" s="20">
        <f t="shared" si="2"/>
        <v>2063</v>
      </c>
      <c r="AO17" s="20">
        <f t="shared" si="2"/>
        <v>2064</v>
      </c>
      <c r="AP17" s="20">
        <f t="shared" si="2"/>
        <v>2065</v>
      </c>
      <c r="AQ17" s="20">
        <f t="shared" si="2"/>
        <v>2066</v>
      </c>
      <c r="AR17" s="20">
        <f t="shared" si="2"/>
        <v>2067</v>
      </c>
      <c r="AS17" s="20">
        <f t="shared" si="2"/>
        <v>2068</v>
      </c>
      <c r="AT17" s="20">
        <f t="shared" si="2"/>
        <v>2069</v>
      </c>
      <c r="AU17" s="20">
        <f t="shared" si="2"/>
        <v>2070</v>
      </c>
      <c r="AV17" s="20">
        <f t="shared" si="2"/>
        <v>2071</v>
      </c>
      <c r="AW17" s="20">
        <f t="shared" si="2"/>
        <v>2072</v>
      </c>
      <c r="AX17" s="20">
        <f t="shared" si="2"/>
        <v>2073</v>
      </c>
      <c r="AY17" s="20">
        <f t="shared" si="2"/>
        <v>2074</v>
      </c>
      <c r="AZ17" s="20">
        <f t="shared" si="3"/>
        <v>2075</v>
      </c>
      <c r="BA17" s="20">
        <f t="shared" si="3"/>
        <v>2076</v>
      </c>
      <c r="BB17" s="20">
        <f t="shared" si="3"/>
        <v>2077</v>
      </c>
      <c r="BC17" s="20">
        <f t="shared" si="3"/>
        <v>2078</v>
      </c>
      <c r="BD17" s="20">
        <f t="shared" si="3"/>
        <v>2079</v>
      </c>
      <c r="BE17" s="20">
        <f t="shared" si="3"/>
        <v>2080</v>
      </c>
      <c r="BF17" s="20">
        <f t="shared" si="3"/>
        <v>2081</v>
      </c>
      <c r="BG17" s="20">
        <f t="shared" si="3"/>
        <v>2082</v>
      </c>
      <c r="BH17" s="20">
        <f t="shared" si="3"/>
        <v>2083</v>
      </c>
      <c r="BI17" s="20">
        <f t="shared" si="3"/>
        <v>2084</v>
      </c>
      <c r="BJ17" s="20">
        <f t="shared" si="3"/>
        <v>2085</v>
      </c>
      <c r="BK17" s="20">
        <f t="shared" si="3"/>
        <v>2086</v>
      </c>
      <c r="BL17" s="20">
        <f t="shared" si="3"/>
        <v>2087</v>
      </c>
      <c r="BM17" s="20">
        <f t="shared" si="3"/>
        <v>2088</v>
      </c>
      <c r="BN17" s="20">
        <f t="shared" si="3"/>
        <v>2089</v>
      </c>
      <c r="BO17" s="20">
        <f t="shared" si="3"/>
        <v>2090</v>
      </c>
      <c r="BP17" s="20">
        <f t="shared" si="4"/>
        <v>2091</v>
      </c>
      <c r="BQ17" s="20">
        <f t="shared" si="4"/>
        <v>2092</v>
      </c>
      <c r="BR17" s="20">
        <f t="shared" si="4"/>
        <v>2093</v>
      </c>
      <c r="BS17" s="20">
        <f t="shared" si="4"/>
        <v>2094</v>
      </c>
      <c r="BT17" s="20">
        <f t="shared" si="4"/>
        <v>2095</v>
      </c>
      <c r="BU17" s="20">
        <f t="shared" si="4"/>
        <v>2096</v>
      </c>
      <c r="BV17" s="20">
        <f t="shared" si="4"/>
        <v>2097</v>
      </c>
      <c r="BW17" s="20">
        <f t="shared" si="4"/>
        <v>2098</v>
      </c>
      <c r="BX17" s="20">
        <f t="shared" si="4"/>
        <v>2099</v>
      </c>
      <c r="BY17" s="20">
        <f t="shared" si="4"/>
        <v>2100</v>
      </c>
      <c r="BZ17" s="20">
        <f t="shared" si="4"/>
        <v>2101</v>
      </c>
      <c r="CA17" s="20">
        <f t="shared" si="4"/>
        <v>2102</v>
      </c>
      <c r="CB17" s="20">
        <f t="shared" si="4"/>
        <v>2103</v>
      </c>
      <c r="CC17" s="20">
        <f t="shared" si="4"/>
        <v>2104</v>
      </c>
      <c r="CD17" s="20">
        <f t="shared" si="4"/>
        <v>2105</v>
      </c>
      <c r="CE17" s="20">
        <f t="shared" si="4"/>
        <v>2106</v>
      </c>
      <c r="CF17" s="20">
        <f t="shared" si="5"/>
        <v>2107</v>
      </c>
      <c r="CG17" s="20">
        <f t="shared" si="5"/>
        <v>2108</v>
      </c>
      <c r="CH17" s="20">
        <f t="shared" si="5"/>
        <v>2109</v>
      </c>
      <c r="CI17" s="20">
        <f t="shared" si="5"/>
        <v>2110</v>
      </c>
      <c r="CJ17" s="20">
        <f t="shared" si="5"/>
        <v>2111</v>
      </c>
      <c r="CK17" s="20">
        <f t="shared" si="5"/>
        <v>2112</v>
      </c>
      <c r="CL17" s="20">
        <f t="shared" si="5"/>
        <v>2113</v>
      </c>
      <c r="CM17" s="20">
        <f t="shared" si="5"/>
        <v>2114</v>
      </c>
      <c r="CN17" s="20">
        <f t="shared" si="5"/>
        <v>2115</v>
      </c>
      <c r="CO17" s="20">
        <f t="shared" si="5"/>
        <v>2116</v>
      </c>
      <c r="CP17" s="20">
        <f t="shared" si="5"/>
        <v>2117</v>
      </c>
      <c r="CQ17" s="20">
        <f t="shared" si="5"/>
        <v>2118</v>
      </c>
      <c r="CR17" s="20">
        <f t="shared" si="5"/>
        <v>2119</v>
      </c>
      <c r="CS17" s="20">
        <f t="shared" si="5"/>
        <v>2120</v>
      </c>
      <c r="CT17" s="20">
        <f t="shared" si="5"/>
        <v>2121</v>
      </c>
      <c r="CU17" s="20">
        <f t="shared" si="5"/>
        <v>2122</v>
      </c>
      <c r="CV17" s="20">
        <f t="shared" si="6"/>
        <v>2123</v>
      </c>
      <c r="CW17" s="20">
        <f t="shared" si="6"/>
        <v>2124</v>
      </c>
      <c r="CX17" s="20">
        <f t="shared" si="6"/>
        <v>2125</v>
      </c>
      <c r="CY17" s="20">
        <f t="shared" si="6"/>
        <v>2126</v>
      </c>
      <c r="CZ17" s="20">
        <f t="shared" si="6"/>
        <v>2127</v>
      </c>
      <c r="DA17" s="20">
        <f t="shared" si="6"/>
        <v>2128</v>
      </c>
      <c r="DB17" s="20">
        <f t="shared" si="6"/>
        <v>2129</v>
      </c>
      <c r="DC17" s="20">
        <f t="shared" si="6"/>
        <v>2130</v>
      </c>
      <c r="DD17" s="20">
        <f t="shared" si="6"/>
        <v>2131</v>
      </c>
    </row>
    <row r="18" spans="1:108" x14ac:dyDescent="0.25">
      <c r="A18" s="20" t="s">
        <v>235</v>
      </c>
      <c r="B18" s="20">
        <v>1</v>
      </c>
      <c r="C18" s="34">
        <f>B18*(1+$A$9/100)</f>
        <v>1.0349999999999999</v>
      </c>
      <c r="D18" s="34">
        <f>C18*(1+$A$9/100)</f>
        <v>1.0712249999999999</v>
      </c>
      <c r="E18" s="34">
        <f t="shared" ref="E18:BO18" si="7">D18*(1+$A$9/100)</f>
        <v>1.1087178749999997</v>
      </c>
      <c r="F18" s="34">
        <f t="shared" si="7"/>
        <v>1.1475230006249997</v>
      </c>
      <c r="G18" s="34">
        <f t="shared" si="7"/>
        <v>1.1876863056468745</v>
      </c>
      <c r="H18" s="34">
        <f t="shared" si="7"/>
        <v>1.229255326344515</v>
      </c>
      <c r="I18" s="34">
        <f t="shared" si="7"/>
        <v>1.2722792627665729</v>
      </c>
      <c r="J18" s="34">
        <f t="shared" si="7"/>
        <v>1.3168090369634029</v>
      </c>
      <c r="K18" s="34">
        <f t="shared" si="7"/>
        <v>1.3628973532571218</v>
      </c>
      <c r="L18" s="34">
        <f t="shared" si="7"/>
        <v>1.410598760621121</v>
      </c>
      <c r="M18" s="34">
        <f t="shared" si="7"/>
        <v>1.4599697172428601</v>
      </c>
      <c r="N18" s="34">
        <f t="shared" si="7"/>
        <v>1.5110686573463601</v>
      </c>
      <c r="O18" s="34">
        <f t="shared" si="7"/>
        <v>1.5639560603534826</v>
      </c>
      <c r="P18" s="34">
        <f t="shared" si="7"/>
        <v>1.6186945224658542</v>
      </c>
      <c r="Q18" s="34">
        <f t="shared" si="7"/>
        <v>1.6753488307521589</v>
      </c>
      <c r="R18" s="34">
        <f t="shared" si="7"/>
        <v>1.7339860398284843</v>
      </c>
      <c r="S18" s="34">
        <f t="shared" si="7"/>
        <v>1.7946755512224812</v>
      </c>
      <c r="T18" s="34">
        <f t="shared" si="7"/>
        <v>1.8574891955152679</v>
      </c>
      <c r="U18" s="34">
        <f t="shared" si="7"/>
        <v>1.9225013173583021</v>
      </c>
      <c r="V18" s="34">
        <f t="shared" si="7"/>
        <v>1.9897888634658425</v>
      </c>
      <c r="W18" s="34">
        <f t="shared" si="7"/>
        <v>2.0594314736871469</v>
      </c>
      <c r="X18" s="34">
        <f t="shared" si="7"/>
        <v>2.1315115752661966</v>
      </c>
      <c r="Y18" s="34">
        <f t="shared" si="7"/>
        <v>2.2061144804005135</v>
      </c>
      <c r="Z18" s="34">
        <f t="shared" si="7"/>
        <v>2.2833284872145314</v>
      </c>
      <c r="AA18" s="34">
        <f t="shared" si="7"/>
        <v>2.3632449842670398</v>
      </c>
      <c r="AB18" s="34">
        <f t="shared" si="7"/>
        <v>2.4459585587163861</v>
      </c>
      <c r="AC18" s="34">
        <f t="shared" si="7"/>
        <v>2.5315671082714593</v>
      </c>
      <c r="AD18" s="34">
        <f t="shared" si="7"/>
        <v>2.6201719570609603</v>
      </c>
      <c r="AE18" s="34">
        <f t="shared" si="7"/>
        <v>2.7118779755580937</v>
      </c>
      <c r="AF18" s="34">
        <f t="shared" si="7"/>
        <v>2.8067937047026268</v>
      </c>
      <c r="AG18" s="34">
        <f t="shared" si="7"/>
        <v>2.9050314843672185</v>
      </c>
      <c r="AH18" s="34">
        <f t="shared" si="7"/>
        <v>3.0067075863200707</v>
      </c>
      <c r="AI18" s="34">
        <f t="shared" si="7"/>
        <v>3.111942351841273</v>
      </c>
      <c r="AJ18" s="34">
        <f t="shared" si="7"/>
        <v>3.2208603341557174</v>
      </c>
      <c r="AK18" s="34">
        <f t="shared" si="7"/>
        <v>3.3335904458511671</v>
      </c>
      <c r="AL18" s="34">
        <f t="shared" si="7"/>
        <v>3.4502661114559579</v>
      </c>
      <c r="AM18" s="34">
        <f t="shared" si="7"/>
        <v>3.571025425356916</v>
      </c>
      <c r="AN18" s="34">
        <f t="shared" si="7"/>
        <v>3.6960113152444078</v>
      </c>
      <c r="AO18" s="34">
        <f t="shared" si="7"/>
        <v>3.8253717112779619</v>
      </c>
      <c r="AP18" s="34">
        <f t="shared" si="7"/>
        <v>3.9592597211726903</v>
      </c>
      <c r="AQ18" s="34">
        <f t="shared" si="7"/>
        <v>4.097833811413734</v>
      </c>
      <c r="AR18" s="34">
        <f t="shared" si="7"/>
        <v>4.2412579948132141</v>
      </c>
      <c r="AS18" s="34">
        <f t="shared" si="7"/>
        <v>4.389702024631676</v>
      </c>
      <c r="AT18" s="34">
        <f t="shared" si="7"/>
        <v>4.5433415954937839</v>
      </c>
      <c r="AU18" s="34">
        <f t="shared" si="7"/>
        <v>4.702358551336066</v>
      </c>
      <c r="AV18" s="34">
        <f t="shared" si="7"/>
        <v>4.866941100632828</v>
      </c>
      <c r="AW18" s="34">
        <f t="shared" si="7"/>
        <v>5.0372840391549767</v>
      </c>
      <c r="AX18" s="34">
        <f t="shared" si="7"/>
        <v>5.2135889805254001</v>
      </c>
      <c r="AY18" s="34">
        <f t="shared" si="7"/>
        <v>5.3960645948437884</v>
      </c>
      <c r="AZ18" s="34">
        <f t="shared" si="7"/>
        <v>5.5849268556633209</v>
      </c>
      <c r="BA18" s="34">
        <f t="shared" si="7"/>
        <v>5.7803992956115371</v>
      </c>
      <c r="BB18" s="34">
        <f t="shared" si="7"/>
        <v>5.98271327095794</v>
      </c>
      <c r="BC18" s="34">
        <f t="shared" si="7"/>
        <v>6.1921082354414674</v>
      </c>
      <c r="BD18" s="34">
        <f t="shared" si="7"/>
        <v>6.4088320236819181</v>
      </c>
      <c r="BE18" s="34">
        <f t="shared" si="7"/>
        <v>6.6331411445107848</v>
      </c>
      <c r="BF18" s="34">
        <f t="shared" si="7"/>
        <v>6.8653010845686619</v>
      </c>
      <c r="BG18" s="34">
        <f t="shared" si="7"/>
        <v>7.1055866225285644</v>
      </c>
      <c r="BH18" s="34">
        <f t="shared" si="7"/>
        <v>7.3542821543170636</v>
      </c>
      <c r="BI18" s="34">
        <f t="shared" si="7"/>
        <v>7.6116820297181604</v>
      </c>
      <c r="BJ18" s="34">
        <f t="shared" si="7"/>
        <v>7.8780909007582958</v>
      </c>
      <c r="BK18" s="34">
        <f t="shared" si="7"/>
        <v>8.1538240822848351</v>
      </c>
      <c r="BL18" s="34">
        <f t="shared" si="7"/>
        <v>8.4392079251648031</v>
      </c>
      <c r="BM18" s="34">
        <f t="shared" si="7"/>
        <v>8.7345802025455708</v>
      </c>
      <c r="BN18" s="34">
        <f t="shared" si="7"/>
        <v>9.0402905096346657</v>
      </c>
      <c r="BO18" s="34">
        <f t="shared" si="7"/>
        <v>9.3567006774718777</v>
      </c>
      <c r="BP18" s="34">
        <f t="shared" ref="BP18:DD18" si="8">BO18*(1+$A$9/100)</f>
        <v>9.6841852011833929</v>
      </c>
      <c r="BQ18" s="34">
        <f t="shared" si="8"/>
        <v>10.023131683224811</v>
      </c>
      <c r="BR18" s="34">
        <f t="shared" si="8"/>
        <v>10.373941292137678</v>
      </c>
      <c r="BS18" s="34">
        <f t="shared" si="8"/>
        <v>10.737029237362496</v>
      </c>
      <c r="BT18" s="34">
        <f t="shared" si="8"/>
        <v>11.112825260670181</v>
      </c>
      <c r="BU18" s="34">
        <f t="shared" si="8"/>
        <v>11.501774144793638</v>
      </c>
      <c r="BV18" s="34">
        <f t="shared" si="8"/>
        <v>11.904336239861413</v>
      </c>
      <c r="BW18" s="34">
        <f t="shared" si="8"/>
        <v>12.320988008256561</v>
      </c>
      <c r="BX18" s="34">
        <f t="shared" si="8"/>
        <v>12.752222588545541</v>
      </c>
      <c r="BY18" s="34">
        <f t="shared" si="8"/>
        <v>13.198550379144633</v>
      </c>
      <c r="BZ18" s="34">
        <f t="shared" si="8"/>
        <v>13.660499642414694</v>
      </c>
      <c r="CA18" s="34">
        <f t="shared" si="8"/>
        <v>14.138617129899206</v>
      </c>
      <c r="CB18" s="34">
        <f t="shared" si="8"/>
        <v>14.633468729445678</v>
      </c>
      <c r="CC18" s="34">
        <f t="shared" si="8"/>
        <v>15.145640134976276</v>
      </c>
      <c r="CD18" s="34">
        <f t="shared" si="8"/>
        <v>15.675737539700444</v>
      </c>
      <c r="CE18" s="34">
        <f t="shared" si="8"/>
        <v>16.224388353589958</v>
      </c>
      <c r="CF18" s="34">
        <f t="shared" si="8"/>
        <v>16.792241945965607</v>
      </c>
      <c r="CG18" s="34">
        <f t="shared" si="8"/>
        <v>17.379970414074403</v>
      </c>
      <c r="CH18" s="34">
        <f t="shared" si="8"/>
        <v>17.988269378567008</v>
      </c>
      <c r="CI18" s="34">
        <f t="shared" si="8"/>
        <v>18.617858806816852</v>
      </c>
      <c r="CJ18" s="34">
        <f t="shared" si="8"/>
        <v>19.269483865055442</v>
      </c>
      <c r="CK18" s="34">
        <f t="shared" si="8"/>
        <v>19.94391580033238</v>
      </c>
      <c r="CL18" s="34">
        <f t="shared" si="8"/>
        <v>20.641952853344012</v>
      </c>
      <c r="CM18" s="34">
        <f t="shared" si="8"/>
        <v>21.364421203211052</v>
      </c>
      <c r="CN18" s="34">
        <f t="shared" si="8"/>
        <v>22.112175945323436</v>
      </c>
      <c r="CO18" s="34">
        <f t="shared" si="8"/>
        <v>22.886102103409755</v>
      </c>
      <c r="CP18" s="34">
        <f t="shared" si="8"/>
        <v>23.687115677029094</v>
      </c>
      <c r="CQ18" s="34">
        <f t="shared" si="8"/>
        <v>24.516164725725112</v>
      </c>
      <c r="CR18" s="34">
        <f t="shared" si="8"/>
        <v>25.374230491125488</v>
      </c>
      <c r="CS18" s="34">
        <f t="shared" si="8"/>
        <v>26.262328558314877</v>
      </c>
      <c r="CT18" s="34">
        <f t="shared" si="8"/>
        <v>27.181510057855895</v>
      </c>
      <c r="CU18" s="34">
        <f t="shared" si="8"/>
        <v>28.132862909880849</v>
      </c>
      <c r="CV18" s="34">
        <f t="shared" si="8"/>
        <v>29.117513111726677</v>
      </c>
      <c r="CW18" s="34">
        <f t="shared" si="8"/>
        <v>30.136626070637107</v>
      </c>
      <c r="CX18" s="34">
        <f t="shared" si="8"/>
        <v>31.191407983109404</v>
      </c>
      <c r="CY18" s="34">
        <f t="shared" si="8"/>
        <v>32.283107262518229</v>
      </c>
      <c r="CZ18" s="34">
        <f t="shared" si="8"/>
        <v>33.413016016706365</v>
      </c>
      <c r="DA18" s="34">
        <f t="shared" si="8"/>
        <v>34.582471577291088</v>
      </c>
      <c r="DB18" s="34">
        <f t="shared" si="8"/>
        <v>35.792858082496274</v>
      </c>
      <c r="DC18" s="34">
        <f t="shared" si="8"/>
        <v>37.045608115383644</v>
      </c>
      <c r="DD18" s="34">
        <f t="shared" si="8"/>
        <v>38.342204399422066</v>
      </c>
    </row>
    <row r="19" spans="1:108" x14ac:dyDescent="0.25">
      <c r="A19" s="20" t="s">
        <v>236</v>
      </c>
      <c r="B19" s="20">
        <v>1</v>
      </c>
      <c r="C19" s="34">
        <f>1/C18</f>
        <v>0.96618357487922713</v>
      </c>
      <c r="D19" s="34">
        <f t="shared" ref="D19:BO19" si="9">1/D18</f>
        <v>0.93351070036640305</v>
      </c>
      <c r="E19" s="34">
        <f t="shared" si="9"/>
        <v>0.90194270566802237</v>
      </c>
      <c r="F19" s="34">
        <f t="shared" si="9"/>
        <v>0.87144222769857238</v>
      </c>
      <c r="G19" s="34">
        <f t="shared" si="9"/>
        <v>0.84197316685852419</v>
      </c>
      <c r="H19" s="34">
        <f t="shared" si="9"/>
        <v>0.81350064430775293</v>
      </c>
      <c r="I19" s="34">
        <f t="shared" si="9"/>
        <v>0.78599096068381935</v>
      </c>
      <c r="J19" s="34">
        <f t="shared" si="9"/>
        <v>0.75941155621625056</v>
      </c>
      <c r="K19" s="34">
        <f t="shared" si="9"/>
        <v>0.73373097218961414</v>
      </c>
      <c r="L19" s="34">
        <f t="shared" si="9"/>
        <v>0.70891881370977217</v>
      </c>
      <c r="M19" s="34">
        <f t="shared" si="9"/>
        <v>0.68494571372924862</v>
      </c>
      <c r="N19" s="34">
        <f t="shared" si="9"/>
        <v>0.66178329828912907</v>
      </c>
      <c r="O19" s="34">
        <f t="shared" si="9"/>
        <v>0.63940415293635666</v>
      </c>
      <c r="P19" s="34">
        <f t="shared" si="9"/>
        <v>0.61778179027667324</v>
      </c>
      <c r="Q19" s="34">
        <f t="shared" si="9"/>
        <v>0.59689061862480508</v>
      </c>
      <c r="R19" s="34">
        <f t="shared" si="9"/>
        <v>0.57670591171478758</v>
      </c>
      <c r="S19" s="34">
        <f t="shared" si="9"/>
        <v>0.55720377943457733</v>
      </c>
      <c r="T19" s="34">
        <f t="shared" si="9"/>
        <v>0.53836113955031639</v>
      </c>
      <c r="U19" s="34">
        <f t="shared" si="9"/>
        <v>0.52015569038677911</v>
      </c>
      <c r="V19" s="34">
        <f t="shared" si="9"/>
        <v>0.50256588443167072</v>
      </c>
      <c r="W19" s="34">
        <f t="shared" si="9"/>
        <v>0.48557090283253213</v>
      </c>
      <c r="X19" s="34">
        <f t="shared" si="9"/>
        <v>0.46915063075606978</v>
      </c>
      <c r="Y19" s="34">
        <f t="shared" si="9"/>
        <v>0.45328563358074375</v>
      </c>
      <c r="Z19" s="34">
        <f t="shared" si="9"/>
        <v>0.43795713389443841</v>
      </c>
      <c r="AA19" s="34">
        <f t="shared" si="9"/>
        <v>0.42314698926998884</v>
      </c>
      <c r="AB19" s="34">
        <f t="shared" si="9"/>
        <v>0.40883767079225974</v>
      </c>
      <c r="AC19" s="34">
        <f t="shared" si="9"/>
        <v>0.39501224231136212</v>
      </c>
      <c r="AD19" s="34">
        <f t="shared" si="9"/>
        <v>0.38165434039745133</v>
      </c>
      <c r="AE19" s="34">
        <f t="shared" si="9"/>
        <v>0.36874815497338298</v>
      </c>
      <c r="AF19" s="34">
        <f t="shared" si="9"/>
        <v>0.35627841060230242</v>
      </c>
      <c r="AG19" s="34">
        <f t="shared" si="9"/>
        <v>0.34423034840802169</v>
      </c>
      <c r="AH19" s="34">
        <f t="shared" si="9"/>
        <v>0.33258970860678427</v>
      </c>
      <c r="AI19" s="34">
        <f t="shared" si="9"/>
        <v>0.32134271362974326</v>
      </c>
      <c r="AJ19" s="34">
        <f t="shared" si="9"/>
        <v>0.3104760518161771</v>
      </c>
      <c r="AK19" s="34">
        <f t="shared" si="9"/>
        <v>0.29997686165814214</v>
      </c>
      <c r="AL19" s="34">
        <f t="shared" si="9"/>
        <v>0.28983271657791515</v>
      </c>
      <c r="AM19" s="34">
        <f t="shared" si="9"/>
        <v>0.28003161022020789</v>
      </c>
      <c r="AN19" s="34">
        <f t="shared" si="9"/>
        <v>0.27056194224174679</v>
      </c>
      <c r="AO19" s="34">
        <f t="shared" si="9"/>
        <v>0.26141250458139786</v>
      </c>
      <c r="AP19" s="34">
        <f t="shared" si="9"/>
        <v>0.25257246819458734</v>
      </c>
      <c r="AQ19" s="34">
        <f t="shared" si="9"/>
        <v>0.24403137023631627</v>
      </c>
      <c r="AR19" s="34">
        <f t="shared" si="9"/>
        <v>0.2357791016776003</v>
      </c>
      <c r="AS19" s="34">
        <f t="shared" si="9"/>
        <v>0.22780589534067666</v>
      </c>
      <c r="AT19" s="34">
        <f t="shared" si="9"/>
        <v>0.22010231433881805</v>
      </c>
      <c r="AU19" s="34">
        <f t="shared" si="9"/>
        <v>0.21265924090707061</v>
      </c>
      <c r="AV19" s="34">
        <f t="shared" si="9"/>
        <v>0.20546786561069624</v>
      </c>
      <c r="AW19" s="34">
        <f t="shared" si="9"/>
        <v>0.19851967691854711</v>
      </c>
      <c r="AX19" s="34">
        <f t="shared" si="9"/>
        <v>0.19180645112903105</v>
      </c>
      <c r="AY19" s="34">
        <f t="shared" si="9"/>
        <v>0.18532024263674501</v>
      </c>
      <c r="AZ19" s="34">
        <f t="shared" si="9"/>
        <v>0.17905337452825604</v>
      </c>
      <c r="BA19" s="34">
        <f t="shared" si="9"/>
        <v>0.17299842949589955</v>
      </c>
      <c r="BB19" s="34">
        <f t="shared" si="9"/>
        <v>0.16714824105884019</v>
      </c>
      <c r="BC19" s="34">
        <f t="shared" si="9"/>
        <v>0.16149588508100501</v>
      </c>
      <c r="BD19" s="34">
        <f t="shared" si="9"/>
        <v>0.15603467157585027</v>
      </c>
      <c r="BE19" s="34">
        <f t="shared" si="9"/>
        <v>0.15075813678826114</v>
      </c>
      <c r="BF19" s="34">
        <f t="shared" si="9"/>
        <v>0.14566003554421367</v>
      </c>
      <c r="BG19" s="34">
        <f t="shared" si="9"/>
        <v>0.14073433385914366</v>
      </c>
      <c r="BH19" s="34">
        <f t="shared" si="9"/>
        <v>0.13597520179627409</v>
      </c>
      <c r="BI19" s="34">
        <f t="shared" si="9"/>
        <v>0.13137700656644841</v>
      </c>
      <c r="BJ19" s="34">
        <f t="shared" si="9"/>
        <v>0.1269343058613028</v>
      </c>
      <c r="BK19" s="34">
        <f t="shared" si="9"/>
        <v>0.12264184141188678</v>
      </c>
      <c r="BL19" s="34">
        <f t="shared" si="9"/>
        <v>0.11849453276510802</v>
      </c>
      <c r="BM19" s="34">
        <f t="shared" si="9"/>
        <v>0.11448747127063577</v>
      </c>
      <c r="BN19" s="34">
        <f t="shared" si="9"/>
        <v>0.11061591427114567</v>
      </c>
      <c r="BO19" s="34">
        <f t="shared" si="9"/>
        <v>0.10687527948902965</v>
      </c>
      <c r="BP19" s="34">
        <f t="shared" ref="BP19:DD19" si="10">1/BP18</f>
        <v>0.10326113960292721</v>
      </c>
      <c r="BQ19" s="34">
        <f t="shared" si="10"/>
        <v>9.9769217007659144E-2</v>
      </c>
      <c r="BR19" s="34">
        <f t="shared" si="10"/>
        <v>9.6395378751361505E-2</v>
      </c>
      <c r="BS19" s="34">
        <f t="shared" si="10"/>
        <v>9.3135631643827543E-2</v>
      </c>
      <c r="BT19" s="34">
        <f t="shared" si="10"/>
        <v>8.9986117530268167E-2</v>
      </c>
      <c r="BU19" s="34">
        <f t="shared" si="10"/>
        <v>8.6943108724896787E-2</v>
      </c>
      <c r="BV19" s="34">
        <f t="shared" si="10"/>
        <v>8.4003003598934103E-2</v>
      </c>
      <c r="BW19" s="34">
        <f t="shared" si="10"/>
        <v>8.1162322317810745E-2</v>
      </c>
      <c r="BX19" s="34">
        <f t="shared" si="10"/>
        <v>7.841770272252245E-2</v>
      </c>
      <c r="BY19" s="34">
        <f t="shared" si="10"/>
        <v>7.5765896350263248E-2</v>
      </c>
      <c r="BZ19" s="34">
        <f t="shared" si="10"/>
        <v>7.3203764589626338E-2</v>
      </c>
      <c r="CA19" s="34">
        <f t="shared" si="10"/>
        <v>7.0728274965822555E-2</v>
      </c>
      <c r="CB19" s="34">
        <f t="shared" si="10"/>
        <v>6.8336497551519382E-2</v>
      </c>
      <c r="CC19" s="34">
        <f t="shared" si="10"/>
        <v>6.6025601499052552E-2</v>
      </c>
      <c r="CD19" s="34">
        <f t="shared" si="10"/>
        <v>6.3792851689905852E-2</v>
      </c>
      <c r="CE19" s="34">
        <f t="shared" si="10"/>
        <v>6.1635605497493577E-2</v>
      </c>
      <c r="CF19" s="34">
        <f t="shared" si="10"/>
        <v>5.9551309659414083E-2</v>
      </c>
      <c r="CG19" s="34">
        <f t="shared" si="10"/>
        <v>5.7537497255472546E-2</v>
      </c>
      <c r="CH19" s="34">
        <f t="shared" si="10"/>
        <v>5.5591784787896177E-2</v>
      </c>
      <c r="CI19" s="34">
        <f t="shared" si="10"/>
        <v>5.3711869360286164E-2</v>
      </c>
      <c r="CJ19" s="34">
        <f t="shared" si="10"/>
        <v>5.1895525951967308E-2</v>
      </c>
      <c r="CK19" s="34">
        <f t="shared" si="10"/>
        <v>5.0140604784509483E-2</v>
      </c>
      <c r="CL19" s="34">
        <f t="shared" si="10"/>
        <v>4.8445028777303847E-2</v>
      </c>
      <c r="CM19" s="34">
        <f t="shared" si="10"/>
        <v>4.6806791089182467E-2</v>
      </c>
      <c r="CN19" s="34">
        <f t="shared" si="10"/>
        <v>4.5223952743171467E-2</v>
      </c>
      <c r="CO19" s="34">
        <f t="shared" si="10"/>
        <v>4.3694640331566642E-2</v>
      </c>
      <c r="CP19" s="34">
        <f t="shared" si="10"/>
        <v>4.2217043798615114E-2</v>
      </c>
      <c r="CQ19" s="34">
        <f t="shared" si="10"/>
        <v>4.078941429817886E-2</v>
      </c>
      <c r="CR19" s="34">
        <f t="shared" si="10"/>
        <v>3.9410062123844312E-2</v>
      </c>
      <c r="CS19" s="34">
        <f t="shared" si="10"/>
        <v>3.8077354709028323E-2</v>
      </c>
      <c r="CT19" s="34">
        <f t="shared" si="10"/>
        <v>3.6789714694713357E-2</v>
      </c>
      <c r="CU19" s="34">
        <f t="shared" si="10"/>
        <v>3.5545618062524986E-2</v>
      </c>
      <c r="CV19" s="34">
        <f t="shared" si="10"/>
        <v>3.4343592330942023E-2</v>
      </c>
      <c r="CW19" s="34">
        <f t="shared" si="10"/>
        <v>3.3182214812504371E-2</v>
      </c>
      <c r="CX19" s="34">
        <f t="shared" si="10"/>
        <v>3.2060110929955914E-2</v>
      </c>
      <c r="CY19" s="34">
        <f t="shared" si="10"/>
        <v>3.0975952589329392E-2</v>
      </c>
      <c r="CZ19" s="34">
        <f t="shared" si="10"/>
        <v>2.9928456608047722E-2</v>
      </c>
      <c r="DA19" s="34">
        <f t="shared" si="10"/>
        <v>2.8916383196181374E-2</v>
      </c>
      <c r="DB19" s="34">
        <f t="shared" si="10"/>
        <v>2.793853448906413E-2</v>
      </c>
      <c r="DC19" s="34">
        <f t="shared" si="10"/>
        <v>2.6993753129530562E-2</v>
      </c>
      <c r="DD19" s="34">
        <f t="shared" si="10"/>
        <v>2.6080920898097163E-2</v>
      </c>
    </row>
    <row r="20" spans="1:108" s="34" customFormat="1" x14ac:dyDescent="0.25">
      <c r="A20" s="34" t="s">
        <v>237</v>
      </c>
      <c r="B20" s="34">
        <v>1</v>
      </c>
      <c r="C20" s="34">
        <f>B20*(1+$D$7/100)</f>
        <v>1.01</v>
      </c>
      <c r="D20" s="34">
        <f t="shared" ref="D20:G20" si="11">C20*(1+$D$7/100)</f>
        <v>1.0201</v>
      </c>
      <c r="E20" s="34">
        <f t="shared" si="11"/>
        <v>1.0303009999999999</v>
      </c>
      <c r="F20" s="34">
        <f t="shared" si="11"/>
        <v>1.04060401</v>
      </c>
      <c r="G20" s="34">
        <f t="shared" si="11"/>
        <v>1.0510100500999999</v>
      </c>
      <c r="H20" s="34">
        <f>G20*(1+$D$8/100)</f>
        <v>1.0615201506009999</v>
      </c>
      <c r="I20" s="34">
        <f>H20*(1+$D$8/100)</f>
        <v>1.0721353521070098</v>
      </c>
      <c r="J20" s="34">
        <f>I20*(1+$D$8/100)</f>
        <v>1.08285670562808</v>
      </c>
      <c r="K20" s="34">
        <f>J20*(1+$D$8/100)</f>
        <v>1.0936852726843609</v>
      </c>
      <c r="L20" s="34">
        <f t="shared" ref="L20:Q20" si="12">K20*(1+$D$8/100)</f>
        <v>1.1046221254112045</v>
      </c>
      <c r="M20" s="34">
        <f t="shared" si="12"/>
        <v>1.1156683466653166</v>
      </c>
      <c r="N20" s="34">
        <f t="shared" si="12"/>
        <v>1.1268250301319698</v>
      </c>
      <c r="O20" s="34">
        <f t="shared" si="12"/>
        <v>1.1380932804332895</v>
      </c>
      <c r="P20" s="34">
        <f t="shared" si="12"/>
        <v>1.1494742132376223</v>
      </c>
      <c r="Q20" s="34">
        <f t="shared" si="12"/>
        <v>1.1609689553699987</v>
      </c>
      <c r="R20" s="34">
        <f>Q20*(1+$D$9/100)</f>
        <v>1.1725786449236986</v>
      </c>
      <c r="S20" s="34">
        <f>R20*(1+$D$9/100)</f>
        <v>1.1843044313729356</v>
      </c>
      <c r="T20" s="34">
        <f t="shared" ref="T20:CE20" si="13">S20*(1+$D$9/100)</f>
        <v>1.196147475686665</v>
      </c>
      <c r="U20" s="34">
        <f t="shared" si="13"/>
        <v>1.2081089504435316</v>
      </c>
      <c r="V20" s="34">
        <f t="shared" si="13"/>
        <v>1.220190039947967</v>
      </c>
      <c r="W20" s="34">
        <f t="shared" si="13"/>
        <v>1.2323919403474468</v>
      </c>
      <c r="X20" s="34">
        <f t="shared" si="13"/>
        <v>1.2447158597509214</v>
      </c>
      <c r="Y20" s="34">
        <f t="shared" si="13"/>
        <v>1.2571630183484306</v>
      </c>
      <c r="Z20" s="34">
        <f t="shared" si="13"/>
        <v>1.269734648531915</v>
      </c>
      <c r="AA20" s="34">
        <f t="shared" si="13"/>
        <v>1.282431995017234</v>
      </c>
      <c r="AB20" s="34">
        <f t="shared" si="13"/>
        <v>1.2952563149674063</v>
      </c>
      <c r="AC20" s="34">
        <f t="shared" si="13"/>
        <v>1.3082088781170804</v>
      </c>
      <c r="AD20" s="34">
        <f t="shared" si="13"/>
        <v>1.3212909668982513</v>
      </c>
      <c r="AE20" s="34">
        <f t="shared" si="13"/>
        <v>1.3345038765672339</v>
      </c>
      <c r="AF20" s="34">
        <f t="shared" si="13"/>
        <v>1.3478489153329063</v>
      </c>
      <c r="AG20" s="34">
        <f t="shared" si="13"/>
        <v>1.3613274044862353</v>
      </c>
      <c r="AH20" s="34">
        <f t="shared" si="13"/>
        <v>1.3749406785310978</v>
      </c>
      <c r="AI20" s="34">
        <f t="shared" si="13"/>
        <v>1.3886900853164088</v>
      </c>
      <c r="AJ20" s="34">
        <f t="shared" si="13"/>
        <v>1.4025769861695729</v>
      </c>
      <c r="AK20" s="34">
        <f t="shared" si="13"/>
        <v>1.4166027560312686</v>
      </c>
      <c r="AL20" s="34">
        <f t="shared" si="13"/>
        <v>1.4307687835915812</v>
      </c>
      <c r="AM20" s="34">
        <f t="shared" si="13"/>
        <v>1.4450764714274971</v>
      </c>
      <c r="AN20" s="34">
        <f t="shared" si="13"/>
        <v>1.4595272361417722</v>
      </c>
      <c r="AO20" s="34">
        <f t="shared" si="13"/>
        <v>1.4741225085031899</v>
      </c>
      <c r="AP20" s="34">
        <f t="shared" si="13"/>
        <v>1.4888637335882218</v>
      </c>
      <c r="AQ20" s="34">
        <f t="shared" si="13"/>
        <v>1.5037523709241041</v>
      </c>
      <c r="AR20" s="34">
        <f t="shared" si="13"/>
        <v>1.5187898946333451</v>
      </c>
      <c r="AS20" s="34">
        <f t="shared" si="13"/>
        <v>1.5339777935796786</v>
      </c>
      <c r="AT20" s="34">
        <f t="shared" si="13"/>
        <v>1.5493175715154754</v>
      </c>
      <c r="AU20" s="34">
        <f t="shared" si="13"/>
        <v>1.5648107472306303</v>
      </c>
      <c r="AV20" s="34">
        <f t="shared" si="13"/>
        <v>1.5804588547029366</v>
      </c>
      <c r="AW20" s="34">
        <f t="shared" si="13"/>
        <v>1.5962634432499661</v>
      </c>
      <c r="AX20" s="34">
        <f t="shared" si="13"/>
        <v>1.6122260776824657</v>
      </c>
      <c r="AY20" s="34">
        <f t="shared" si="13"/>
        <v>1.6283483384592905</v>
      </c>
      <c r="AZ20" s="34">
        <f t="shared" si="13"/>
        <v>1.6446318218438833</v>
      </c>
      <c r="BA20" s="34">
        <f t="shared" si="13"/>
        <v>1.6610781400623222</v>
      </c>
      <c r="BB20" s="34">
        <f t="shared" si="13"/>
        <v>1.6776889214629456</v>
      </c>
      <c r="BC20" s="34">
        <f t="shared" si="13"/>
        <v>1.694465810677575</v>
      </c>
      <c r="BD20" s="34">
        <f t="shared" si="13"/>
        <v>1.7114104687843508</v>
      </c>
      <c r="BE20" s="34">
        <f t="shared" si="13"/>
        <v>1.7285245734721943</v>
      </c>
      <c r="BF20" s="34">
        <f t="shared" si="13"/>
        <v>1.7458098192069162</v>
      </c>
      <c r="BG20" s="34">
        <f t="shared" si="13"/>
        <v>1.7632679173989854</v>
      </c>
      <c r="BH20" s="34">
        <f t="shared" si="13"/>
        <v>1.7809005965729752</v>
      </c>
      <c r="BI20" s="34">
        <f t="shared" si="13"/>
        <v>1.798709602538705</v>
      </c>
      <c r="BJ20" s="34">
        <f t="shared" si="13"/>
        <v>1.8166966985640922</v>
      </c>
      <c r="BK20" s="34">
        <f t="shared" si="13"/>
        <v>1.8348636655497332</v>
      </c>
      <c r="BL20" s="34">
        <f t="shared" si="13"/>
        <v>1.8532123022052305</v>
      </c>
      <c r="BM20" s="34">
        <f t="shared" si="13"/>
        <v>1.8717444252272828</v>
      </c>
      <c r="BN20" s="34">
        <f t="shared" si="13"/>
        <v>1.8904618694795556</v>
      </c>
      <c r="BO20" s="34">
        <f t="shared" si="13"/>
        <v>1.9093664881743513</v>
      </c>
      <c r="BP20" s="34">
        <f t="shared" si="13"/>
        <v>1.9284601530560948</v>
      </c>
      <c r="BQ20" s="34">
        <f t="shared" si="13"/>
        <v>1.9477447545866557</v>
      </c>
      <c r="BR20" s="34">
        <f t="shared" si="13"/>
        <v>1.9672222021325223</v>
      </c>
      <c r="BS20" s="34">
        <f t="shared" si="13"/>
        <v>1.9868944241538475</v>
      </c>
      <c r="BT20" s="34">
        <f t="shared" si="13"/>
        <v>2.006763368395386</v>
      </c>
      <c r="BU20" s="34">
        <f t="shared" si="13"/>
        <v>2.0268310020793399</v>
      </c>
      <c r="BV20" s="34">
        <f t="shared" si="13"/>
        <v>2.0470993121001331</v>
      </c>
      <c r="BW20" s="34">
        <f t="shared" si="13"/>
        <v>2.0675703052211345</v>
      </c>
      <c r="BX20" s="34">
        <f t="shared" si="13"/>
        <v>2.0882460082733458</v>
      </c>
      <c r="BY20" s="34">
        <f t="shared" si="13"/>
        <v>2.1091284683560794</v>
      </c>
      <c r="BZ20" s="34">
        <f t="shared" si="13"/>
        <v>2.1302197530396403</v>
      </c>
      <c r="CA20" s="34">
        <f t="shared" si="13"/>
        <v>2.1515219505700367</v>
      </c>
      <c r="CB20" s="34">
        <f t="shared" si="13"/>
        <v>2.1730371700757369</v>
      </c>
      <c r="CC20" s="34">
        <f t="shared" si="13"/>
        <v>2.1947675417764945</v>
      </c>
      <c r="CD20" s="34">
        <f t="shared" si="13"/>
        <v>2.2167152171942592</v>
      </c>
      <c r="CE20" s="34">
        <f t="shared" si="13"/>
        <v>2.2388823693662019</v>
      </c>
      <c r="CF20" s="34">
        <f t="shared" ref="CF20:DD20" si="14">CE20*(1+$D$9/100)</f>
        <v>2.2612711930598639</v>
      </c>
      <c r="CG20" s="34">
        <f t="shared" si="14"/>
        <v>2.2838839049904625</v>
      </c>
      <c r="CH20" s="34">
        <f t="shared" si="14"/>
        <v>2.3067227440403673</v>
      </c>
      <c r="CI20" s="34">
        <f t="shared" si="14"/>
        <v>2.3297899714807708</v>
      </c>
      <c r="CJ20" s="34">
        <f t="shared" si="14"/>
        <v>2.3530878711955787</v>
      </c>
      <c r="CK20" s="34">
        <f t="shared" si="14"/>
        <v>2.3766187499075344</v>
      </c>
      <c r="CL20" s="34">
        <f t="shared" si="14"/>
        <v>2.40038493740661</v>
      </c>
      <c r="CM20" s="34">
        <f t="shared" si="14"/>
        <v>2.4243887867806762</v>
      </c>
      <c r="CN20" s="34">
        <f t="shared" si="14"/>
        <v>2.4486326746484828</v>
      </c>
      <c r="CO20" s="34">
        <f t="shared" si="14"/>
        <v>2.4731190013949678</v>
      </c>
      <c r="CP20" s="34">
        <f t="shared" si="14"/>
        <v>2.4978501914089173</v>
      </c>
      <c r="CQ20" s="34">
        <f t="shared" si="14"/>
        <v>2.5228286933230066</v>
      </c>
      <c r="CR20" s="34">
        <f t="shared" si="14"/>
        <v>2.5480569802562365</v>
      </c>
      <c r="CS20" s="34">
        <f t="shared" si="14"/>
        <v>2.5735375500587989</v>
      </c>
      <c r="CT20" s="34">
        <f t="shared" si="14"/>
        <v>2.5992729255593869</v>
      </c>
      <c r="CU20" s="34">
        <f t="shared" si="14"/>
        <v>2.6252656548149806</v>
      </c>
      <c r="CV20" s="34">
        <f t="shared" si="14"/>
        <v>2.6515183113631307</v>
      </c>
      <c r="CW20" s="34">
        <f t="shared" si="14"/>
        <v>2.6780334944767619</v>
      </c>
      <c r="CX20" s="34">
        <f t="shared" si="14"/>
        <v>2.7048138294215294</v>
      </c>
      <c r="CY20" s="34">
        <f t="shared" si="14"/>
        <v>2.7318619677157447</v>
      </c>
      <c r="CZ20" s="34">
        <f t="shared" si="14"/>
        <v>2.7591805873929021</v>
      </c>
      <c r="DA20" s="34">
        <f t="shared" si="14"/>
        <v>2.7867723932668311</v>
      </c>
      <c r="DB20" s="34">
        <f t="shared" si="14"/>
        <v>2.8146401171994992</v>
      </c>
      <c r="DC20" s="34">
        <f t="shared" si="14"/>
        <v>2.8427865183714944</v>
      </c>
      <c r="DD20" s="34">
        <f t="shared" si="14"/>
        <v>2.8712143835552095</v>
      </c>
    </row>
    <row r="21" spans="1:108" s="670" customFormat="1" x14ac:dyDescent="0.25">
      <c r="A21" s="670" t="s">
        <v>890</v>
      </c>
      <c r="B21" s="670">
        <v>1</v>
      </c>
      <c r="C21" s="670">
        <f>B21/(1+'Kalkylvärden 1'!$E$78)</f>
        <v>0.98202887164882646</v>
      </c>
      <c r="D21" s="670">
        <f>C21/(1+'Kalkylvärden 1'!$E$78)</f>
        <v>0.96438070475186732</v>
      </c>
      <c r="E21" s="670">
        <f>D21/(1+'Kalkylvärden 1'!$E$78)</f>
        <v>0.94704969532737637</v>
      </c>
      <c r="F21" s="670">
        <f>E21/(1+'Kalkylvärden 1'!$E$78)</f>
        <v>0.93003014369770831</v>
      </c>
      <c r="G21" s="670">
        <f>F21/(1+'Kalkylvärden 1'!$E$78)</f>
        <v>0.9133164526148565</v>
      </c>
      <c r="H21" s="670">
        <f>G21/(1+'Kalkylvärden 1'!$E$78)</f>
        <v>0.89690312541967643</v>
      </c>
      <c r="I21" s="670">
        <f>H21/(1+'Kalkylvärden 1'!$E$78)</f>
        <v>0.88078476423419072</v>
      </c>
      <c r="J21" s="670">
        <f>I21/(1+'Kalkylvärden 1'!$E$78)</f>
        <v>0.86495606818637993</v>
      </c>
      <c r="K21" s="670">
        <f>J21/(1+'Kalkylvärden 1'!$E$78)</f>
        <v>0.84941183166687606</v>
      </c>
      <c r="L21" s="670">
        <f>K21/(1+'Kalkylvärden 1'!$E$78)</f>
        <v>0.8341469426169853</v>
      </c>
      <c r="M21" s="670">
        <f>L21/(1+'Kalkylvärden 1'!$E$78)</f>
        <v>0.81915638084747644</v>
      </c>
      <c r="N21" s="670">
        <f>M21/(1+'Kalkylvärden 1'!$E$78)</f>
        <v>0.80443521638758364</v>
      </c>
      <c r="O21" s="670">
        <f>N21/(1+'Kalkylvärden 1'!$E$78)</f>
        <v>0.78997860786367835</v>
      </c>
      <c r="P21" s="670">
        <f>O21/(1+'Kalkylvärden 1'!$E$78)</f>
        <v>0.77578180090707882</v>
      </c>
      <c r="Q21" s="670">
        <f>P21/(1+'Kalkylvärden 1'!$E$78)</f>
        <v>0.76184012659047318</v>
      </c>
      <c r="R21" s="670">
        <f>Q21/(1+'Kalkylvärden 1'!$E$78)</f>
        <v>0.74814899989244155</v>
      </c>
      <c r="S21" s="670">
        <f>R21/(1+'Kalkylvärden 1'!$E$78)</f>
        <v>0.73470391818957237</v>
      </c>
      <c r="T21" s="670">
        <f>S21/(1+'Kalkylvärden 1'!$E$78)</f>
        <v>0.72150045977567745</v>
      </c>
      <c r="U21" s="670">
        <f>T21/(1+'Kalkylvärden 1'!$E$78)</f>
        <v>0.70853428240761807</v>
      </c>
      <c r="V21" s="670">
        <f>U21/(1+'Kalkylvärden 1'!$E$78)</f>
        <v>0.69580112187726417</v>
      </c>
      <c r="W21" s="670">
        <f>V21/(1+'Kalkylvärden 1'!$E$78)</f>
        <v>0.6832967906091173</v>
      </c>
      <c r="X21" s="670">
        <f>W21/(1+'Kalkylvärden 1'!$E$78)</f>
        <v>0.67101717628313595</v>
      </c>
      <c r="Y21" s="670">
        <f>X21/(1+'Kalkylvärden 1'!$E$78)</f>
        <v>0.65895824048230967</v>
      </c>
      <c r="Z21" s="670">
        <f>Y21/(1+'Kalkylvärden 1'!$E$78)</f>
        <v>0.64711601736453861</v>
      </c>
      <c r="AA21" s="670">
        <f>Z21/(1+'Kalkylvärden 1'!$E$78)</f>
        <v>0.63548661235838022</v>
      </c>
      <c r="AB21" s="670">
        <f>AA21/(1+'Kalkylvärden 1'!$E$78)</f>
        <v>0.6240662008822353</v>
      </c>
      <c r="AC21" s="670">
        <f>AB21/(1+'Kalkylvärden 1'!$E$78)</f>
        <v>0.61285102708655137</v>
      </c>
      <c r="AD21" s="670">
        <f>AC21/(1+'Kalkylvärden 1'!$E$78)</f>
        <v>0.60183740261863039</v>
      </c>
      <c r="AE21" s="670">
        <f>AD21/(1+'Kalkylvärden 1'!$E$78)</f>
        <v>0.59102170540963406</v>
      </c>
      <c r="AF21" s="670">
        <f>AE21/(1+'Kalkylvärden 1'!$E$78)</f>
        <v>0.5804003784833881</v>
      </c>
      <c r="AG21" s="670">
        <f>AF21/(1+'Kalkylvärden 1'!$E$78)</f>
        <v>0.56996992878659347</v>
      </c>
      <c r="AH21" s="670">
        <f>AG21/(1+'Kalkylvärden 1'!$E$78)</f>
        <v>0.55972692604006036</v>
      </c>
      <c r="AI21" s="670">
        <f>AH21/(1+'Kalkylvärden 1'!$E$78)</f>
        <v>0.5496680016105866</v>
      </c>
      <c r="AJ21" s="670">
        <f>AI21/(1+'Kalkylvärden 1'!$E$78)</f>
        <v>0.53978984740310965</v>
      </c>
      <c r="AK21" s="670">
        <f>AJ21/(1+'Kalkylvärden 1'!$E$78)</f>
        <v>0.53008921477276805</v>
      </c>
      <c r="AL21" s="670">
        <f>AK21/(1+'Kalkylvärden 1'!$E$78)</f>
        <v>0.52056291345651384</v>
      </c>
      <c r="AM21" s="670">
        <f>AL21/(1+'Kalkylvärden 1'!$E$78)</f>
        <v>0.51120781052392605</v>
      </c>
      <c r="AN21" s="670">
        <f>AM21/(1+'Kalkylvärden 1'!$E$78)</f>
        <v>0.50202082934687819</v>
      </c>
      <c r="AO21" s="670">
        <f>AN21/(1+'Kalkylvärden 1'!$E$78)</f>
        <v>0.49299894858772286</v>
      </c>
      <c r="AP21" s="670">
        <f>AO21/(1+'Kalkylvärden 1'!$E$78)</f>
        <v>0.48413920120565929</v>
      </c>
      <c r="AQ21" s="670">
        <f>AP21/(1+'Kalkylvärden 1'!$E$78)</f>
        <v>0.47543867348095775</v>
      </c>
      <c r="AR21" s="670">
        <f>AQ21/(1+'Kalkylvärden 1'!$E$78)</f>
        <v>0.46689450405671978</v>
      </c>
      <c r="AS21" s="670">
        <f>AR21/(1+'Kalkylvärden 1'!$E$78)</f>
        <v>0.45850388299785899</v>
      </c>
      <c r="AT21" s="670">
        <f>AS21/(1+'Kalkylvärden 1'!$E$78)</f>
        <v>0.450264050866993</v>
      </c>
      <c r="AU21" s="670">
        <f>AT21/(1+'Kalkylvärden 1'!$E$78)</f>
        <v>0.44217229781694295</v>
      </c>
      <c r="AV21" s="670">
        <f>AU21/(1+'Kalkylvärden 1'!$E$78)</f>
        <v>0.43422596269954133</v>
      </c>
      <c r="AW21" s="670">
        <f>AV21/(1+'Kalkylvärden 1'!$E$78)</f>
        <v>0.426422432190456</v>
      </c>
      <c r="AX21" s="670">
        <f>AW21/(1+'Kalkylvärden 1'!$E$78)</f>
        <v>0.41875913992974173</v>
      </c>
      <c r="AY21" s="670">
        <f>AX21/(1+'Kalkylvärden 1'!$E$78)</f>
        <v>0.41123356567783731</v>
      </c>
      <c r="AZ21" s="670">
        <f>AY21/(1+'Kalkylvärden 1'!$E$78)</f>
        <v>0.40384323448673015</v>
      </c>
      <c r="BA21" s="670">
        <f>AZ21/(1+'Kalkylvärden 1'!$E$78)</f>
        <v>0.39658571588601604</v>
      </c>
      <c r="BB21" s="670">
        <f>BA21/(1+'Kalkylvärden 1'!$E$78)</f>
        <v>0.38945862308358642</v>
      </c>
      <c r="BC21" s="670">
        <f>BB21/(1+'Kalkylvärden 1'!$E$78)</f>
        <v>0.38245961218067998</v>
      </c>
      <c r="BD21" s="670">
        <f>BC21/(1+'Kalkylvärden 1'!$E$78)</f>
        <v>0.37558638140104095</v>
      </c>
      <c r="BE21" s="670">
        <f>BD21/(1+'Kalkylvärden 1'!$E$78)</f>
        <v>0.36883667033393003</v>
      </c>
      <c r="BF21" s="670">
        <f>BE21/(1+'Kalkylvärden 1'!$E$78)</f>
        <v>0.36220825919073951</v>
      </c>
      <c r="BG21" s="670">
        <f>BF21/(1+'Kalkylvärden 1'!$E$78)</f>
        <v>0.35569896807496759</v>
      </c>
      <c r="BH21" s="670">
        <f>BG21/(1+'Kalkylvärden 1'!$E$78)</f>
        <v>0.34930665626531238</v>
      </c>
      <c r="BI21" s="670">
        <f>BH21/(1+'Kalkylvärden 1'!$E$78)</f>
        <v>0.34302922151164922</v>
      </c>
      <c r="BJ21" s="670">
        <f>BI21/(1+'Kalkylvärden 1'!$E$78)</f>
        <v>0.33686459934366025</v>
      </c>
      <c r="BK21" s="670">
        <f>BJ21/(1+'Kalkylvärden 1'!$E$78)</f>
        <v>0.33081076239188867</v>
      </c>
      <c r="BL21" s="670">
        <f>BK21/(1+'Kalkylvärden 1'!$E$78)</f>
        <v>0.32486571972099448</v>
      </c>
      <c r="BM21" s="670">
        <f>BL21/(1+'Kalkylvärden 1'!$E$78)</f>
        <v>0.31902751617499214</v>
      </c>
      <c r="BN21" s="670">
        <f>BM21/(1+'Kalkylvärden 1'!$E$78)</f>
        <v>0.3132942317342553</v>
      </c>
      <c r="BO21" s="670">
        <f>BN21/(1+'Kalkylvärden 1'!$E$78)</f>
        <v>0.3076639808840767</v>
      </c>
      <c r="BP21" s="670">
        <f>BO21/(1+'Kalkylvärden 1'!$E$78)</f>
        <v>0.30213491199457598</v>
      </c>
      <c r="BQ21" s="670">
        <f>BP21/(1+'Kalkylvärden 1'!$E$78)</f>
        <v>0.29670520671175094</v>
      </c>
      <c r="BR21" s="670">
        <f>BQ21/(1+'Kalkylvärden 1'!$E$78)</f>
        <v>0.2913730793594726</v>
      </c>
      <c r="BS21" s="670">
        <f>BR21/(1+'Kalkylvärden 1'!$E$78)</f>
        <v>0.28613677635222684</v>
      </c>
      <c r="BT21" s="670">
        <f>BS21/(1+'Kalkylvärden 1'!$E$78)</f>
        <v>0.28099457561840996</v>
      </c>
      <c r="BU21" s="670">
        <f>BT21/(1+'Kalkylvärden 1'!$E$78)</f>
        <v>0.27594478603398798</v>
      </c>
      <c r="BV21" s="670">
        <f>BU21/(1+'Kalkylvärden 1'!$E$78)</f>
        <v>0.27098574686633409</v>
      </c>
      <c r="BW21" s="670">
        <f>BV21/(1+'Kalkylvärden 1'!$E$78)</f>
        <v>0.2661158272280606</v>
      </c>
      <c r="BX21" s="670">
        <f>BW21/(1+'Kalkylvärden 1'!$E$78)</f>
        <v>0.26133342554066641</v>
      </c>
      <c r="BY21" s="670">
        <f>BX21/(1+'Kalkylvärden 1'!$E$78)</f>
        <v>0.25663696900782323</v>
      </c>
      <c r="BZ21" s="670">
        <f>BY21/(1+'Kalkylvärden 1'!$E$78)</f>
        <v>0.25202491309812752</v>
      </c>
      <c r="CA21" s="670">
        <f>BZ21/(1+'Kalkylvärden 1'!$E$78)</f>
        <v>0.24749574103714772</v>
      </c>
      <c r="CB21" s="670">
        <f>CA21/(1+'Kalkylvärden 1'!$E$78)</f>
        <v>0.24304796330860035</v>
      </c>
      <c r="CC21" s="670">
        <f>CB21/(1+'Kalkylvärden 1'!$E$78)</f>
        <v>0.23868011716449017</v>
      </c>
      <c r="CD21" s="670">
        <f>CC21/(1+'Kalkylvärden 1'!$E$78)</f>
        <v>0.23439076614405399</v>
      </c>
      <c r="CE21" s="670">
        <f>CD21/(1+'Kalkylvärden 1'!$E$78)</f>
        <v>0.23017849960134931</v>
      </c>
      <c r="CF21" s="670">
        <f>CE21/(1+'Kalkylvärden 1'!$E$78)</f>
        <v>0.22604193224133293</v>
      </c>
      <c r="CG21" s="670">
        <f>CF21/(1+'Kalkylvärden 1'!$E$78)</f>
        <v>0.22197970366427666</v>
      </c>
      <c r="CH21" s="670">
        <f>CG21/(1+'Kalkylvärden 1'!$E$78)</f>
        <v>0.21799047791837048</v>
      </c>
      <c r="CI21" s="670">
        <f>CH21/(1+'Kalkylvärden 1'!$E$78)</f>
        <v>0.21407294306036578</v>
      </c>
      <c r="CJ21" s="670">
        <f>CI21/(1+'Kalkylvärden 1'!$E$78)</f>
        <v>0.2102258107241145</v>
      </c>
      <c r="CK21" s="670">
        <f>CJ21/(1+'Kalkylvärden 1'!$E$78)</f>
        <v>0.20644781569686194</v>
      </c>
      <c r="CL21" s="670">
        <f>CK21/(1+'Kalkylvärden 1'!$E$78)</f>
        <v>0.20273771550315423</v>
      </c>
      <c r="CM21" s="670">
        <f>CL21/(1+'Kalkylvärden 1'!$E$78)</f>
        <v>0.19909428999622333</v>
      </c>
      <c r="CN21" s="670">
        <f>CM21/(1+'Kalkylvärden 1'!$E$78)</f>
        <v>0.19551634095671544</v>
      </c>
      <c r="CO21" s="670">
        <f>CN21/(1+'Kalkylvärden 1'!$E$78)</f>
        <v>0.19200269169863052</v>
      </c>
      <c r="CP21" s="670">
        <f>CO21/(1+'Kalkylvärden 1'!$E$78)</f>
        <v>0.18855218668234364</v>
      </c>
      <c r="CQ21" s="670">
        <f>CP21/(1+'Kalkylvärden 1'!$E$78)</f>
        <v>0.18516369113458081</v>
      </c>
      <c r="CR21" s="670">
        <f>CQ21/(1+'Kalkylvärden 1'!$E$78)</f>
        <v>0.18183609067522422</v>
      </c>
      <c r="CS21" s="670">
        <f>CR21/(1+'Kalkylvärden 1'!$E$78)</f>
        <v>0.17856829095082413</v>
      </c>
      <c r="CT21" s="670">
        <f>CS21/(1+'Kalkylvärden 1'!$E$78)</f>
        <v>0.17535921727469717</v>
      </c>
      <c r="CU21" s="670">
        <f>CT21/(1+'Kalkylvärden 1'!$E$78)</f>
        <v>0.17220781427349227</v>
      </c>
      <c r="CV21" s="670">
        <f>CU21/(1+'Kalkylvärden 1'!$E$78)</f>
        <v>0.16911304554010828</v>
      </c>
      <c r="CW21" s="670">
        <f>CV21/(1+'Kalkylvärden 1'!$E$78)</f>
        <v>0.16607389329284913</v>
      </c>
      <c r="CX21" s="670">
        <f>CW21/(1+'Kalkylvärden 1'!$E$78)</f>
        <v>0.16308935804070424</v>
      </c>
      <c r="CY21" s="670">
        <f>CX21/(1+'Kalkylvärden 1'!$E$78)</f>
        <v>0.16015845825464425</v>
      </c>
      <c r="CZ21" s="670">
        <f>CY21/(1+'Kalkylvärden 1'!$E$78)</f>
        <v>0.15728023004482397</v>
      </c>
      <c r="DA21" s="670">
        <f>CZ21/(1+'Kalkylvärden 1'!$E$78)</f>
        <v>0.15445372684358635</v>
      </c>
      <c r="DB21" s="670">
        <f>DA21/(1+'Kalkylvärden 1'!$E$78)</f>
        <v>0.15167801909416317</v>
      </c>
      <c r="DC21" s="670">
        <f>DB21/(1+'Kalkylvärden 1'!$E$78)</f>
        <v>0.14895219394497022</v>
      </c>
      <c r="DD21" s="670">
        <f>DC21/(1+'Kalkylvärden 1'!$E$78)</f>
        <v>0.14627535494939628</v>
      </c>
    </row>
    <row r="22" spans="1:108" s="670" customFormat="1" x14ac:dyDescent="0.25">
      <c r="A22" s="670" t="s">
        <v>891</v>
      </c>
      <c r="B22" s="670">
        <f>B19*B20*B21</f>
        <v>1</v>
      </c>
      <c r="C22" s="670">
        <f>C19*C20*C21</f>
        <v>0.95830836750271964</v>
      </c>
      <c r="D22" s="670">
        <f t="shared" ref="D22:AG22" si="15">D19*D20*D21</f>
        <v>0.91835492722572742</v>
      </c>
      <c r="E22" s="670">
        <f t="shared" si="15"/>
        <v>0.88006721109776587</v>
      </c>
      <c r="F22" s="670">
        <f t="shared" si="15"/>
        <v>0.84337577235977135</v>
      </c>
      <c r="G22" s="670">
        <f t="shared" si="15"/>
        <v>0.80821405960143788</v>
      </c>
      <c r="H22" s="670">
        <f t="shared" si="15"/>
        <v>0.7745182960493997</v>
      </c>
      <c r="I22" s="670">
        <f t="shared" si="15"/>
        <v>0.7422273638880883</v>
      </c>
      <c r="J22" s="670">
        <f t="shared" si="15"/>
        <v>0.71128269340344086</v>
      </c>
      <c r="K22" s="670">
        <f t="shared" si="15"/>
        <v>0.68162815674838884</v>
      </c>
      <c r="L22" s="670">
        <f t="shared" si="15"/>
        <v>0.65320996613743654</v>
      </c>
      <c r="M22" s="670">
        <f t="shared" si="15"/>
        <v>0.6259765762856736</v>
      </c>
      <c r="N22" s="670">
        <f t="shared" si="15"/>
        <v>0.59987859091526552</v>
      </c>
      <c r="O22" s="670">
        <f t="shared" si="15"/>
        <v>0.57486867315983992</v>
      </c>
      <c r="P22" s="670">
        <f t="shared" si="15"/>
        <v>0.55090145970426063</v>
      </c>
      <c r="Q22" s="670">
        <f t="shared" si="15"/>
        <v>0.52793347850405536</v>
      </c>
      <c r="R22" s="670">
        <f t="shared" si="15"/>
        <v>0.50592306993525349</v>
      </c>
      <c r="S22" s="670">
        <f t="shared" si="15"/>
        <v>0.48483031123161691</v>
      </c>
      <c r="T22" s="670">
        <f t="shared" si="15"/>
        <v>0.46461694407220638</v>
      </c>
      <c r="U22" s="670">
        <f t="shared" si="15"/>
        <v>0.44524630518793845</v>
      </c>
      <c r="V22" s="670">
        <f t="shared" si="15"/>
        <v>0.42668325986127109</v>
      </c>
      <c r="W22" s="670">
        <f t="shared" si="15"/>
        <v>0.40889413819839338</v>
      </c>
      <c r="X22" s="670">
        <f t="shared" si="15"/>
        <v>0.39184667405833384</v>
      </c>
      <c r="Y22" s="670">
        <f t="shared" si="15"/>
        <v>0.37550994652821218</v>
      </c>
      <c r="Z22" s="670">
        <f t="shared" si="15"/>
        <v>0.35985432383848459</v>
      </c>
      <c r="AA22" s="670">
        <f t="shared" si="15"/>
        <v>0.34485140961645311</v>
      </c>
      <c r="AB22" s="670">
        <f t="shared" si="15"/>
        <v>0.33047399138055483</v>
      </c>
      <c r="AC22" s="670">
        <f t="shared" si="15"/>
        <v>0.31669599118200725</v>
      </c>
      <c r="AD22" s="670">
        <f t="shared" si="15"/>
        <v>0.30349241830428508</v>
      </c>
      <c r="AE22" s="670">
        <f t="shared" si="15"/>
        <v>0.29083932393463197</v>
      </c>
      <c r="AF22" s="670">
        <f t="shared" si="15"/>
        <v>0.27871375772539186</v>
      </c>
      <c r="AG22" s="670">
        <f t="shared" si="15"/>
        <v>0.26709372616636878</v>
      </c>
      <c r="AH22" s="670">
        <f t="shared" ref="AH22:BM22" si="16">AH19*AH20*AH21</f>
        <v>0.25595815269271133</v>
      </c>
      <c r="AI22" s="670">
        <f t="shared" si="16"/>
        <v>0.245286839455964</v>
      </c>
      <c r="AJ22" s="670">
        <f t="shared" si="16"/>
        <v>0.23506043068894655</v>
      </c>
      <c r="AK22" s="670">
        <f t="shared" si="16"/>
        <v>0.22526037759801054</v>
      </c>
      <c r="AL22" s="670">
        <f t="shared" si="16"/>
        <v>0.2158689047189957</v>
      </c>
      <c r="AM22" s="670">
        <f t="shared" si="16"/>
        <v>0.2068689776758609</v>
      </c>
      <c r="AN22" s="670">
        <f t="shared" si="16"/>
        <v>0.19824427228351085</v>
      </c>
      <c r="AO22" s="670">
        <f t="shared" si="16"/>
        <v>0.18997914493877593</v>
      </c>
      <c r="AP22" s="670">
        <f t="shared" si="16"/>
        <v>0.18205860424584092</v>
      </c>
      <c r="AQ22" s="670">
        <f t="shared" si="16"/>
        <v>0.17446828382465551</v>
      </c>
      <c r="AR22" s="670">
        <f t="shared" si="16"/>
        <v>0.16719441625300677</v>
      </c>
      <c r="AS22" s="670">
        <f t="shared" si="16"/>
        <v>0.16022380809498912</v>
      </c>
      <c r="AT22" s="670">
        <f t="shared" si="16"/>
        <v>0.15354381597057806</v>
      </c>
      <c r="AU22" s="670">
        <f t="shared" si="16"/>
        <v>0.14714232362290269</v>
      </c>
      <c r="AV22" s="670">
        <f t="shared" si="16"/>
        <v>0.14100771994162073</v>
      </c>
      <c r="AW22" s="670">
        <f t="shared" si="16"/>
        <v>0.13512887790253525</v>
      </c>
      <c r="AX22" s="670">
        <f t="shared" si="16"/>
        <v>0.1294951343852529</v>
      </c>
      <c r="AY22" s="670">
        <f t="shared" si="16"/>
        <v>0.12409627083227701</v>
      </c>
      <c r="AZ22" s="670">
        <f t="shared" si="16"/>
        <v>0.11892249471445474</v>
      </c>
      <c r="BA22" s="670">
        <f t="shared" si="16"/>
        <v>0.11396442176915991</v>
      </c>
      <c r="BB22" s="670">
        <f t="shared" si="16"/>
        <v>0.10921305897899507</v>
      </c>
      <c r="BC22" s="670">
        <f t="shared" si="16"/>
        <v>0.10465978826013898</v>
      </c>
      <c r="BD22" s="670">
        <f t="shared" si="16"/>
        <v>0.1002963508307541</v>
      </c>
      <c r="BE22" s="670">
        <f t="shared" si="16"/>
        <v>9.6114832231099998E-2</v>
      </c>
      <c r="BF22" s="670">
        <f t="shared" si="16"/>
        <v>9.2107647968183215E-2</v>
      </c>
      <c r="BG22" s="670">
        <f t="shared" si="16"/>
        <v>8.8267529758904853E-2</v>
      </c>
      <c r="BH22" s="670">
        <f t="shared" si="16"/>
        <v>8.4587512346753838E-2</v>
      </c>
      <c r="BI22" s="670">
        <f t="shared" si="16"/>
        <v>8.1060920868133823E-2</v>
      </c>
      <c r="BJ22" s="670">
        <f t="shared" si="16"/>
        <v>7.7681358745408463E-2</v>
      </c>
      <c r="BK22" s="670">
        <f t="shared" si="16"/>
        <v>7.4442696084705495E-2</v>
      </c>
      <c r="BL22" s="670">
        <f t="shared" si="16"/>
        <v>7.1339058557435234E-2</v>
      </c>
      <c r="BM22" s="670">
        <f t="shared" si="16"/>
        <v>6.8364816745356674E-2</v>
      </c>
      <c r="BN22" s="670">
        <f t="shared" ref="BN22:CS22" si="17">BN19*BN20*BN21</f>
        <v>6.5514575929865343E-2</v>
      </c>
      <c r="BO22" s="670">
        <f t="shared" si="17"/>
        <v>6.2783166306982247E-2</v>
      </c>
      <c r="BP22" s="670">
        <f t="shared" si="17"/>
        <v>6.01656336102959E-2</v>
      </c>
      <c r="BQ22" s="670">
        <f t="shared" si="17"/>
        <v>5.7657230124849426E-2</v>
      </c>
      <c r="BR22" s="670">
        <f t="shared" si="17"/>
        <v>5.5253406075673091E-2</v>
      </c>
      <c r="BS22" s="670">
        <f t="shared" si="17"/>
        <v>5.2949801375343122E-2</v>
      </c>
      <c r="BT22" s="670">
        <f t="shared" si="17"/>
        <v>5.0742237715598333E-2</v>
      </c>
      <c r="BU22" s="670">
        <f t="shared" si="17"/>
        <v>4.8626710988669969E-2</v>
      </c>
      <c r="BV22" s="670">
        <f t="shared" si="17"/>
        <v>4.6599384024578874E-2</v>
      </c>
      <c r="BW22" s="670">
        <f t="shared" si="17"/>
        <v>4.465657963122651E-2</v>
      </c>
      <c r="BX22" s="670">
        <f t="shared" si="17"/>
        <v>4.279477392465586E-2</v>
      </c>
      <c r="BY22" s="670">
        <f t="shared" si="17"/>
        <v>4.1010589937384927E-2</v>
      </c>
      <c r="BZ22" s="670">
        <f t="shared" si="17"/>
        <v>3.9300791493218815E-2</v>
      </c>
      <c r="CA22" s="670">
        <f t="shared" si="17"/>
        <v>3.7662277337431292E-2</v>
      </c>
      <c r="CB22" s="670">
        <f t="shared" si="17"/>
        <v>3.6092075511668459E-2</v>
      </c>
      <c r="CC22" s="670">
        <f t="shared" si="17"/>
        <v>3.4587337963371885E-2</v>
      </c>
      <c r="CD22" s="670">
        <f t="shared" si="17"/>
        <v>3.3145335379943748E-2</v>
      </c>
      <c r="CE22" s="670">
        <f t="shared" si="17"/>
        <v>3.1763452238284029E-2</v>
      </c>
      <c r="CF22" s="670">
        <f t="shared" si="17"/>
        <v>3.043918206072057E-2</v>
      </c>
      <c r="CG22" s="670">
        <f t="shared" si="17"/>
        <v>2.9170122868727198E-2</v>
      </c>
      <c r="CH22" s="670">
        <f t="shared" si="17"/>
        <v>2.7953972826183709E-2</v>
      </c>
      <c r="CI22" s="670">
        <f t="shared" si="17"/>
        <v>2.6788526064275491E-2</v>
      </c>
      <c r="CJ22" s="670">
        <f t="shared" si="17"/>
        <v>2.5671668680459905E-2</v>
      </c>
      <c r="CK22" s="670">
        <f t="shared" si="17"/>
        <v>2.4601374904242228E-2</v>
      </c>
      <c r="CL22" s="670">
        <f t="shared" si="17"/>
        <v>2.3575703422806748E-2</v>
      </c>
      <c r="CM22" s="670">
        <f t="shared" si="17"/>
        <v>2.2592793859838214E-2</v>
      </c>
      <c r="CN22" s="670">
        <f t="shared" si="17"/>
        <v>2.1650863401147025E-2</v>
      </c>
      <c r="CO22" s="670">
        <f t="shared" si="17"/>
        <v>2.0748203560977591E-2</v>
      </c>
      <c r="CP22" s="670">
        <f t="shared" si="17"/>
        <v>1.9883177083134546E-2</v>
      </c>
      <c r="CQ22" s="670">
        <f t="shared" si="17"/>
        <v>1.9054214971306157E-2</v>
      </c>
      <c r="CR22" s="670">
        <f t="shared" si="17"/>
        <v>1.8259813643198283E-2</v>
      </c>
      <c r="CS22" s="670">
        <f t="shared" si="17"/>
        <v>1.7498532203317232E-2</v>
      </c>
      <c r="CT22" s="670">
        <f t="shared" ref="CT22:DD22" si="18">CT19*CT20*CT21</f>
        <v>1.6768989829454704E-2</v>
      </c>
      <c r="CU22" s="670">
        <f t="shared" si="18"/>
        <v>1.6069863268134449E-2</v>
      </c>
      <c r="CV22" s="670">
        <f t="shared" si="18"/>
        <v>1.5399884434477843E-2</v>
      </c>
      <c r="CW22" s="670">
        <f t="shared" si="18"/>
        <v>1.4757838112135001E-2</v>
      </c>
      <c r="CX22" s="670">
        <f t="shared" si="18"/>
        <v>1.4142559749109511E-2</v>
      </c>
      <c r="CY22" s="670">
        <f t="shared" si="18"/>
        <v>1.3552933345478808E-2</v>
      </c>
      <c r="CZ22" s="670">
        <f t="shared" si="18"/>
        <v>1.2987889429178969E-2</v>
      </c>
      <c r="DA22" s="670">
        <f t="shared" si="18"/>
        <v>1.2446403116182328E-2</v>
      </c>
      <c r="DB22" s="670">
        <f t="shared" si="18"/>
        <v>1.1927492251549448E-2</v>
      </c>
      <c r="DC22" s="670">
        <f t="shared" si="18"/>
        <v>1.1430215627983688E-2</v>
      </c>
      <c r="DD22" s="670">
        <f t="shared" si="18"/>
        <v>1.0953671278657123E-2</v>
      </c>
    </row>
    <row r="23" spans="1:108" s="670" customFormat="1" x14ac:dyDescent="0.25">
      <c r="A23" s="670" t="s">
        <v>892</v>
      </c>
      <c r="B23" s="670">
        <v>1</v>
      </c>
      <c r="C23" s="670">
        <f>B23/(1+'Kalkylvärden 1'!$E$82)</f>
        <v>0.97675327212346152</v>
      </c>
      <c r="D23" s="670">
        <f>C23/(1+'Kalkylvärden 1'!$E$82)</f>
        <v>0.95404695460388889</v>
      </c>
      <c r="E23" s="670">
        <f>D23/(1+'Kalkylvärden 1'!$E$82)</f>
        <v>0.93186848466877203</v>
      </c>
      <c r="F23" s="670">
        <f>E23/(1+'Kalkylvärden 1'!$E$82)</f>
        <v>0.91020559158895487</v>
      </c>
      <c r="G23" s="670">
        <f>F23/(1+'Kalkylvärden 1'!$E$82)</f>
        <v>0.88904628988958279</v>
      </c>
      <c r="H23" s="670">
        <f>G23/(1+'Kalkylvärden 1'!$E$82)</f>
        <v>0.8683788727188736</v>
      </c>
      <c r="I23" s="670">
        <f>H23/(1+'Kalkylvärden 1'!$E$82)</f>
        <v>0.84819190537104272</v>
      </c>
      <c r="J23" s="670">
        <f>I23/(1+'Kalkylvärden 1'!$E$82)</f>
        <v>0.82847421895979945</v>
      </c>
      <c r="K23" s="670">
        <f>J23/(1+'Kalkylvärden 1'!$E$82)</f>
        <v>0.80921490423891329</v>
      </c>
      <c r="L23" s="670">
        <f>K23/(1+'Kalkylvärden 1'!$E$82)</f>
        <v>0.79040330556643212</v>
      </c>
      <c r="M23" s="670">
        <f>L23/(1+'Kalkylvärden 1'!$E$82)</f>
        <v>0.77202901500921284</v>
      </c>
      <c r="N23" s="670">
        <f>M23/(1+'Kalkylvärden 1'!$E$82)</f>
        <v>0.75408186658450171</v>
      </c>
      <c r="O23" s="670">
        <f>N23/(1+'Kalkylvärden 1'!$E$82)</f>
        <v>0.7365519306353796</v>
      </c>
      <c r="P23" s="670">
        <f>O23/(1+'Kalkylvärden 1'!$E$82)</f>
        <v>0.71942950833695996</v>
      </c>
      <c r="Q23" s="670">
        <f>P23/(1+'Kalkylvärden 1'!$E$82)</f>
        <v>0.7027051263302988</v>
      </c>
      <c r="R23" s="670">
        <f>Q23/(1+'Kalkylvärden 1'!$E$82)</f>
        <v>0.68636953148104973</v>
      </c>
      <c r="S23" s="670">
        <f>R23/(1+'Kalkylvärden 1'!$E$82)</f>
        <v>0.67041368575996263</v>
      </c>
      <c r="T23" s="670">
        <f>S23/(1+'Kalkylvärden 1'!$E$82)</f>
        <v>0.65482876124239364</v>
      </c>
      <c r="U23" s="670">
        <f>T23/(1+'Kalkylvärden 1'!$E$82)</f>
        <v>0.63960613522406096</v>
      </c>
      <c r="V23" s="670">
        <f>U23/(1+'Kalkylvärden 1'!$E$82)</f>
        <v>0.62473738545034274</v>
      </c>
      <c r="W23" s="670">
        <f>V23/(1+'Kalkylvärden 1'!$E$82)</f>
        <v>0.61021428545647849</v>
      </c>
      <c r="X23" s="670">
        <f>W23/(1+'Kalkylvärden 1'!$E$82)</f>
        <v>0.59602880001609537</v>
      </c>
      <c r="Y23" s="670">
        <f>X23/(1+'Kalkylvärden 1'!$E$82)</f>
        <v>0.58217308069554141</v>
      </c>
      <c r="Z23" s="670">
        <f>Y23/(1+'Kalkylvärden 1'!$E$82)</f>
        <v>0.56863946151156608</v>
      </c>
      <c r="AA23" s="670">
        <f>Z23/(1+'Kalkylvärden 1'!$E$82)</f>
        <v>0.55542045468994539</v>
      </c>
      <c r="AB23" s="670">
        <f>AA23/(1+'Kalkylvärden 1'!$E$82)</f>
        <v>0.54250874652270498</v>
      </c>
      <c r="AC23" s="670">
        <f>AB23/(1+'Kalkylvärden 1'!$E$82)</f>
        <v>0.52989719332164964</v>
      </c>
      <c r="AD23" s="670">
        <f>AC23/(1+'Kalkylvärden 1'!$E$82)</f>
        <v>0.5175788174659598</v>
      </c>
      <c r="AE23" s="670">
        <f>AD23/(1+'Kalkylvärden 1'!$E$82)</f>
        <v>0.50554680354166803</v>
      </c>
      <c r="AF23" s="670">
        <f>AE23/(1+'Kalkylvärden 1'!$E$82)</f>
        <v>0.49379449457088104</v>
      </c>
      <c r="AG23" s="670">
        <f>AF23/(1+'Kalkylvärden 1'!$E$82)</f>
        <v>0.48231538832865894</v>
      </c>
      <c r="AH23" s="670">
        <f>AG23/(1+'Kalkylvärden 1'!$E$82)</f>
        <v>0.47110313374551566</v>
      </c>
      <c r="AI23" s="670">
        <f>AH23/(1+'Kalkylvärden 1'!$E$82)</f>
        <v>0.46015152739354914</v>
      </c>
      <c r="AJ23" s="670">
        <f>AI23/(1+'Kalkylvärden 1'!$E$82)</f>
        <v>0.44945451005425779</v>
      </c>
      <c r="AK23" s="670">
        <f>AJ23/(1+'Kalkylvärden 1'!$E$82)</f>
        <v>0.43900616336614356</v>
      </c>
      <c r="AL23" s="670">
        <f>AK23/(1+'Kalkylvärden 1'!$E$82)</f>
        <v>0.42880070655024766</v>
      </c>
      <c r="AM23" s="670">
        <f>AL23/(1+'Kalkylvärden 1'!$E$82)</f>
        <v>0.41883249321180666</v>
      </c>
      <c r="AN23" s="670">
        <f>AM23/(1+'Kalkylvärden 1'!$E$82)</f>
        <v>0.40909600821625963</v>
      </c>
      <c r="AO23" s="670">
        <f>AN23/(1+'Kalkylvärden 1'!$E$82)</f>
        <v>0.3995858646378781</v>
      </c>
      <c r="AP23" s="670">
        <f>AO23/(1+'Kalkylvärden 1'!$E$82)</f>
        <v>0.39029680077933004</v>
      </c>
      <c r="AQ23" s="670">
        <f>AP23/(1+'Kalkylvärden 1'!$E$82)</f>
        <v>0.38122367726052941</v>
      </c>
      <c r="AR23" s="670">
        <f>AQ23/(1+'Kalkylvärden 1'!$E$82)</f>
        <v>0.37236147417516058</v>
      </c>
      <c r="AS23" s="670">
        <f>AR23/(1+'Kalkylvärden 1'!$E$82)</f>
        <v>0.36370528831330395</v>
      </c>
      <c r="AT23" s="670">
        <f>AS23/(1+'Kalkylvärden 1'!$E$82)</f>
        <v>0.35525033044862664</v>
      </c>
      <c r="AU23" s="670">
        <f>AT23/(1+'Kalkylvärden 1'!$E$82)</f>
        <v>0.34699192268863704</v>
      </c>
      <c r="AV23" s="670">
        <f>AU23/(1+'Kalkylvärden 1'!$E$82)</f>
        <v>0.33892549588653742</v>
      </c>
      <c r="AW23" s="670">
        <f>AV23/(1+'Kalkylvärden 1'!$E$82)</f>
        <v>0.33104658711324225</v>
      </c>
      <c r="AX23" s="670">
        <f>AW23/(1+'Kalkylvärden 1'!$E$82)</f>
        <v>0.32335083718816393</v>
      </c>
      <c r="AY23" s="670">
        <f>AX23/(1+'Kalkylvärden 1'!$E$82)</f>
        <v>0.31583398826739978</v>
      </c>
      <c r="AZ23" s="670">
        <f>AY23/(1+'Kalkylvärden 1'!$E$82)</f>
        <v>0.30849188148798573</v>
      </c>
      <c r="BA23" s="670">
        <f>AZ23/(1+'Kalkylvärden 1'!$E$82)</f>
        <v>0.30132045466691321</v>
      </c>
      <c r="BB23" s="670">
        <f>BA23/(1+'Kalkylvärden 1'!$E$82)</f>
        <v>0.29431574005363664</v>
      </c>
      <c r="BC23" s="670">
        <f>BB23/(1+'Kalkylvärden 1'!$E$82)</f>
        <v>0.28747386213482773</v>
      </c>
      <c r="BD23" s="670">
        <f>BC23/(1+'Kalkylvärden 1'!$E$82)</f>
        <v>0.28079103549016188</v>
      </c>
      <c r="BE23" s="670">
        <f>BD23/(1+'Kalkylvärden 1'!$E$82)</f>
        <v>0.27426356269795066</v>
      </c>
      <c r="BF23" s="670">
        <f>BE23/(1+'Kalkylvärden 1'!$E$82)</f>
        <v>0.26788783228946145</v>
      </c>
      <c r="BG23" s="670">
        <f>BF23/(1+'Kalkylvärden 1'!$E$82)</f>
        <v>0.2616603167507926</v>
      </c>
      <c r="BH23" s="670">
        <f>BG23/(1+'Kalkylvärden 1'!$E$82)</f>
        <v>0.25557757057119806</v>
      </c>
      <c r="BI23" s="670">
        <f>BH23/(1+'Kalkylvärden 1'!$E$82)</f>
        <v>0.24963622833678262</v>
      </c>
      <c r="BJ23" s="670">
        <f>BI23/(1+'Kalkylvärden 1'!$E$82)</f>
        <v>0.24383300286851203</v>
      </c>
      <c r="BK23" s="670">
        <f>BJ23/(1+'Kalkylvärden 1'!$E$82)</f>
        <v>0.23816468340350852</v>
      </c>
      <c r="BL23" s="670">
        <f>BK23/(1+'Kalkylvärden 1'!$E$82)</f>
        <v>0.23262813381862524</v>
      </c>
      <c r="BM23" s="670">
        <f>BL23/(1+'Kalkylvärden 1'!$E$82)</f>
        <v>0.2272202908953167</v>
      </c>
      <c r="BN23" s="670">
        <f>BM23/(1+'Kalkylvärden 1'!$E$82)</f>
        <v>0.22193816262484536</v>
      </c>
      <c r="BO23" s="670">
        <f>BN23/(1+'Kalkylvärden 1'!$E$82)</f>
        <v>0.21677882655288666</v>
      </c>
      <c r="BP23" s="670">
        <f>BO23/(1+'Kalkylvärden 1'!$E$82)</f>
        <v>0.21173942816261637</v>
      </c>
      <c r="BQ23" s="670">
        <f>BP23/(1+'Kalkylvärden 1'!$E$82)</f>
        <v>0.20681717929538618</v>
      </c>
      <c r="BR23" s="670">
        <f>BQ23/(1+'Kalkylvärden 1'!$E$82)</f>
        <v>0.20200935660811309</v>
      </c>
      <c r="BS23" s="670">
        <f>BR23/(1+'Kalkylvärden 1'!$E$82)</f>
        <v>0.19731330006652967</v>
      </c>
      <c r="BT23" s="670">
        <f>BS23/(1+'Kalkylvärden 1'!$E$82)</f>
        <v>0.19272641147346128</v>
      </c>
      <c r="BU23" s="670">
        <f>BT23/(1+'Kalkylvärden 1'!$E$82)</f>
        <v>0.18824615303131595</v>
      </c>
      <c r="BV23" s="670">
        <f>BU23/(1+'Kalkylvärden 1'!$E$82)</f>
        <v>0.18387004593799175</v>
      </c>
      <c r="BW23" s="670">
        <f>BV23/(1+'Kalkylvärden 1'!$E$82)</f>
        <v>0.17959566901542465</v>
      </c>
      <c r="BX23" s="670">
        <f>BW23/(1+'Kalkylvärden 1'!$E$82)</f>
        <v>0.17542065737001822</v>
      </c>
      <c r="BY23" s="670">
        <f>BX23/(1+'Kalkylvärden 1'!$E$82)</f>
        <v>0.17134270108421393</v>
      </c>
      <c r="BZ23" s="670">
        <f>BY23/(1+'Kalkylvärden 1'!$E$82)</f>
        <v>0.16735954393847813</v>
      </c>
      <c r="CA23" s="670">
        <f>BZ23/(1+'Kalkylvärden 1'!$E$82)</f>
        <v>0.16346898216299874</v>
      </c>
      <c r="CB23" s="670">
        <f>CA23/(1+'Kalkylvärden 1'!$E$82)</f>
        <v>0.15966886321840079</v>
      </c>
      <c r="CC23" s="670">
        <f>CB23/(1+'Kalkylvärden 1'!$E$82)</f>
        <v>0.1559570846048064</v>
      </c>
      <c r="CD23" s="670">
        <f>CC23/(1+'Kalkylvärden 1'!$E$82)</f>
        <v>0.15233159269858018</v>
      </c>
      <c r="CE23" s="670">
        <f>CD23/(1+'Kalkylvärden 1'!$E$82)</f>
        <v>0.1487903816161166</v>
      </c>
      <c r="CF23" s="670">
        <f>CE23/(1+'Kalkylvärden 1'!$E$82)</f>
        <v>0.14533149210404042</v>
      </c>
      <c r="CG23" s="670">
        <f>CF23/(1+'Kalkylvärden 1'!$E$82)</f>
        <v>0.1419530104552065</v>
      </c>
      <c r="CH23" s="670">
        <f>CG23/(1+'Kalkylvärden 1'!$E$82)</f>
        <v>0.13865306744989891</v>
      </c>
      <c r="CI23" s="670">
        <f>CH23/(1+'Kalkylvärden 1'!$E$82)</f>
        <v>0.13542983732164379</v>
      </c>
      <c r="CJ23" s="670">
        <f>CI23/(1+'Kalkylvärden 1'!$E$82)</f>
        <v>0.13228153674706367</v>
      </c>
      <c r="CK23" s="670">
        <f>CJ23/(1+'Kalkylvärden 1'!$E$82)</f>
        <v>0.12920642385921435</v>
      </c>
      <c r="CL23" s="670">
        <f>CK23/(1+'Kalkylvärden 1'!$E$82)</f>
        <v>0.12620279728385853</v>
      </c>
      <c r="CM23" s="670">
        <f>CL23/(1+'Kalkylvärden 1'!$E$82)</f>
        <v>0.12326899519814272</v>
      </c>
      <c r="CN23" s="670">
        <f>CM23/(1+'Kalkylvärden 1'!$E$82)</f>
        <v>0.12040339441115717</v>
      </c>
      <c r="CO23" s="670">
        <f>CN23/(1+'Kalkylvärden 1'!$E$82)</f>
        <v>0.11760440946586947</v>
      </c>
      <c r="CP23" s="670">
        <f>CO23/(1+'Kalkylvärden 1'!$E$82)</f>
        <v>0.11487049176193541</v>
      </c>
      <c r="CQ23" s="670">
        <f>CP23/(1+'Kalkylvärden 1'!$E$82)</f>
        <v>0.11220012869890154</v>
      </c>
      <c r="CR23" s="670">
        <f>CQ23/(1+'Kalkylvärden 1'!$E$82)</f>
        <v>0.10959184283932559</v>
      </c>
      <c r="CS23" s="670">
        <f>CR23/(1+'Kalkylvärden 1'!$E$82)</f>
        <v>0.10704419109135142</v>
      </c>
      <c r="CT23" s="670">
        <f>CS23/(1+'Kalkylvärden 1'!$E$82)</f>
        <v>0.10455576391028659</v>
      </c>
      <c r="CU23" s="670">
        <f>CT23/(1+'Kalkylvärden 1'!$E$82)</f>
        <v>0.10212518451874056</v>
      </c>
      <c r="CV23" s="670">
        <f>CU23/(1+'Kalkylvärden 1'!$E$82)</f>
        <v>9.9751108144892117E-2</v>
      </c>
      <c r="CW23" s="670">
        <f>CV23/(1+'Kalkylvärden 1'!$E$82)</f>
        <v>9.7432221278464654E-2</v>
      </c>
      <c r="CX23" s="670">
        <f>CW23/(1+'Kalkylvärden 1'!$E$82)</f>
        <v>9.5167240943997505E-2</v>
      </c>
      <c r="CY23" s="670">
        <f>CX23/(1+'Kalkylvärden 1'!$E$82)</f>
        <v>9.2954913991011426E-2</v>
      </c>
      <c r="CZ23" s="670">
        <f>CY23/(1+'Kalkylvärden 1'!$E$82)</f>
        <v>9.0794016400675345E-2</v>
      </c>
      <c r="DA23" s="670">
        <f>CZ23/(1+'Kalkylvärden 1'!$E$82)</f>
        <v>8.8683352608590879E-2</v>
      </c>
      <c r="DB23" s="670">
        <f>DA23/(1+'Kalkylvärden 1'!$E$82)</f>
        <v>8.6621754843319868E-2</v>
      </c>
      <c r="DC23" s="670">
        <f>DB23/(1+'Kalkylvärden 1'!$E$82)</f>
        <v>8.460808248028899E-2</v>
      </c>
      <c r="DD23" s="670">
        <f>DC23/(1+'Kalkylvärden 1'!$E$82)</f>
        <v>8.2641221410713991E-2</v>
      </c>
    </row>
    <row r="24" spans="1:108" s="670" customFormat="1" x14ac:dyDescent="0.25">
      <c r="A24" s="670" t="s">
        <v>893</v>
      </c>
      <c r="B24" s="670">
        <f>B19*B20*B23</f>
        <v>1</v>
      </c>
      <c r="C24" s="670">
        <f t="shared" ref="C24:BN24" si="19">C19*C20*C23</f>
        <v>0.95316019791758089</v>
      </c>
      <c r="D24" s="670">
        <f t="shared" si="19"/>
        <v>0.90851436289428189</v>
      </c>
      <c r="E24" s="670">
        <f t="shared" si="19"/>
        <v>0.86595972994727866</v>
      </c>
      <c r="F24" s="670">
        <f t="shared" si="19"/>
        <v>0.82539834758520314</v>
      </c>
      <c r="G24" s="670">
        <f t="shared" si="19"/>
        <v>0.78673685234515656</v>
      </c>
      <c r="H24" s="670">
        <f t="shared" si="19"/>
        <v>0.74988625389036401</v>
      </c>
      <c r="I24" s="670">
        <f t="shared" si="19"/>
        <v>0.71476173017381273</v>
      </c>
      <c r="J24" s="670">
        <f t="shared" si="19"/>
        <v>0.68128243219638385</v>
      </c>
      <c r="K24" s="670">
        <f t="shared" si="19"/>
        <v>0.6493712979100762</v>
      </c>
      <c r="L24" s="670">
        <f t="shared" si="19"/>
        <v>0.61895487483796463</v>
      </c>
      <c r="M24" s="670">
        <f t="shared" si="19"/>
        <v>0.58996315100260599</v>
      </c>
      <c r="N24" s="670">
        <f t="shared" si="19"/>
        <v>0.5623293937737236</v>
      </c>
      <c r="O24" s="670">
        <f t="shared" si="19"/>
        <v>0.53598999626423571</v>
      </c>
      <c r="P24" s="670">
        <f t="shared" si="19"/>
        <v>0.51088433092106245</v>
      </c>
      <c r="Q24" s="670">
        <f t="shared" si="19"/>
        <v>0.48695460997371082</v>
      </c>
      <c r="R24" s="670">
        <f t="shared" si="19"/>
        <v>0.46414575241942058</v>
      </c>
      <c r="S24" s="670">
        <f t="shared" si="19"/>
        <v>0.44240525723869933</v>
      </c>
      <c r="T24" s="670">
        <f t="shared" si="19"/>
        <v>0.42168308254941711</v>
      </c>
      <c r="U24" s="670">
        <f t="shared" si="19"/>
        <v>0.40193153042129798</v>
      </c>
      <c r="V24" s="670">
        <f t="shared" si="19"/>
        <v>0.38310513708568061</v>
      </c>
      <c r="W24" s="670">
        <f t="shared" si="19"/>
        <v>0.36516056828782928</v>
      </c>
      <c r="X24" s="670">
        <f t="shared" si="19"/>
        <v>0.34805651954092376</v>
      </c>
      <c r="Y24" s="670">
        <f t="shared" si="19"/>
        <v>0.33175362105213124</v>
      </c>
      <c r="Z24" s="670">
        <f t="shared" si="19"/>
        <v>0.31621434710192353</v>
      </c>
      <c r="AA24" s="670">
        <f t="shared" si="19"/>
        <v>0.30140292966804805</v>
      </c>
      <c r="AB24" s="670">
        <f t="shared" si="19"/>
        <v>0.28728527609533538</v>
      </c>
      <c r="AC24" s="670">
        <f t="shared" si="19"/>
        <v>0.27382889062183668</v>
      </c>
      <c r="AD24" s="670">
        <f t="shared" si="19"/>
        <v>0.26100279958066153</v>
      </c>
      <c r="AE24" s="670">
        <f t="shared" si="19"/>
        <v>0.24877748010534606</v>
      </c>
      <c r="AF24" s="670">
        <f t="shared" si="19"/>
        <v>0.23712479217464871</v>
      </c>
      <c r="AG24" s="670">
        <f t="shared" si="19"/>
        <v>0.22601791384035341</v>
      </c>
      <c r="AH24" s="670">
        <f t="shared" si="19"/>
        <v>0.21543127948899005</v>
      </c>
      <c r="AI24" s="670">
        <f t="shared" si="19"/>
        <v>0.20534052099536343</v>
      </c>
      <c r="AJ24" s="670">
        <f t="shared" si="19"/>
        <v>0.19572241163243981</v>
      </c>
      <c r="AK24" s="670">
        <f t="shared" si="19"/>
        <v>0.18655481260848256</v>
      </c>
      <c r="AL24" s="670">
        <f t="shared" si="19"/>
        <v>0.17781662210837845</v>
      </c>
      <c r="AM24" s="670">
        <f t="shared" si="19"/>
        <v>0.16948772672185772</v>
      </c>
      <c r="AN24" s="670">
        <f t="shared" si="19"/>
        <v>0.16154895514680678</v>
      </c>
      <c r="AO24" s="670">
        <f t="shared" si="19"/>
        <v>0.15398203406110875</v>
      </c>
      <c r="AP24" s="670">
        <f t="shared" si="19"/>
        <v>0.14676954606143811</v>
      </c>
      <c r="AQ24" s="670">
        <f t="shared" si="19"/>
        <v>0.13989488957219384</v>
      </c>
      <c r="AR24" s="670">
        <f t="shared" si="19"/>
        <v>0.13334224063229042</v>
      </c>
      <c r="AS24" s="670">
        <f t="shared" si="19"/>
        <v>0.12709651647184766</v>
      </c>
      <c r="AT24" s="670">
        <f t="shared" si="19"/>
        <v>0.12114334079494142</v>
      </c>
      <c r="AU24" s="670">
        <f t="shared" si="19"/>
        <v>0.11546901068850333</v>
      </c>
      <c r="AV24" s="670">
        <f t="shared" si="19"/>
        <v>0.1100604650812011</v>
      </c>
      <c r="AW24" s="670">
        <f t="shared" si="19"/>
        <v>0.10490525467969865</v>
      </c>
      <c r="AX24" s="670">
        <f t="shared" si="19"/>
        <v>9.9991513313095803E-2</v>
      </c>
      <c r="AY24" s="670">
        <f t="shared" si="19"/>
        <v>9.5307930619588824E-2</v>
      </c>
      <c r="AZ24" s="670">
        <f t="shared" si="19"/>
        <v>9.0843726012482348E-2</v>
      </c>
      <c r="BA24" s="670">
        <f t="shared" si="19"/>
        <v>8.6588623865628184E-2</v>
      </c>
      <c r="BB24" s="670">
        <f t="shared" si="19"/>
        <v>8.2532829861173149E-2</v>
      </c>
      <c r="BC24" s="670">
        <f t="shared" si="19"/>
        <v>7.8667008445173825E-2</v>
      </c>
      <c r="BD24" s="670">
        <f t="shared" si="19"/>
        <v>7.4982261339185896E-2</v>
      </c>
      <c r="BE24" s="670">
        <f t="shared" si="19"/>
        <v>7.1470107058366206E-2</v>
      </c>
      <c r="BF24" s="670">
        <f t="shared" si="19"/>
        <v>6.8122461388943026E-2</v>
      </c>
      <c r="BG24" s="670">
        <f t="shared" si="19"/>
        <v>6.4931618780117717E-2</v>
      </c>
      <c r="BH24" s="670">
        <f t="shared" si="19"/>
        <v>6.1890234607565917E-2</v>
      </c>
      <c r="BI24" s="670">
        <f t="shared" si="19"/>
        <v>5.8991308267713045E-2</v>
      </c>
      <c r="BJ24" s="670">
        <f t="shared" si="19"/>
        <v>5.6228167063870398E-2</v>
      </c>
      <c r="BK24" s="670">
        <f t="shared" si="19"/>
        <v>5.3594450847141512E-2</v>
      </c>
      <c r="BL24" s="670">
        <f t="shared" si="19"/>
        <v>5.1084097376745477E-2</v>
      </c>
      <c r="BM24" s="670">
        <f t="shared" si="19"/>
        <v>4.8691328366059689E-2</v>
      </c>
      <c r="BN24" s="670">
        <f t="shared" si="19"/>
        <v>4.6410636182263376E-2</v>
      </c>
      <c r="BO24" s="670">
        <f t="shared" ref="BO24:DD24" si="20">BO19*BO20*BO23</f>
        <v>4.4236771168967008E-2</v>
      </c>
      <c r="BP24" s="670">
        <f t="shared" si="20"/>
        <v>4.216472956264733E-2</v>
      </c>
      <c r="BQ24" s="670">
        <f t="shared" si="20"/>
        <v>4.0189741975074203E-2</v>
      </c>
      <c r="BR24" s="670">
        <f t="shared" si="20"/>
        <v>3.8307262415218243E-2</v>
      </c>
      <c r="BS24" s="670">
        <f t="shared" si="20"/>
        <v>3.6512957825370125E-2</v>
      </c>
      <c r="BT24" s="670">
        <f t="shared" si="20"/>
        <v>3.4802698107386079E-2</v>
      </c>
      <c r="BU24" s="670">
        <f t="shared" si="20"/>
        <v>3.3172546616101931E-2</v>
      </c>
      <c r="BV24" s="670">
        <f t="shared" si="20"/>
        <v>3.1618751098033894E-2</v>
      </c>
      <c r="BW24" s="670">
        <f t="shared" si="20"/>
        <v>3.0137735054508726E-2</v>
      </c>
      <c r="BX24" s="670">
        <f t="shared" si="20"/>
        <v>2.8726089509343147E-2</v>
      </c>
      <c r="BY24" s="670">
        <f t="shared" si="20"/>
        <v>2.7380565162123668E-2</v>
      </c>
      <c r="BZ24" s="670">
        <f t="shared" si="20"/>
        <v>2.6098064909025016E-2</v>
      </c>
      <c r="CA24" s="670">
        <f t="shared" si="20"/>
        <v>2.4875636713952157E-2</v>
      </c>
      <c r="CB24" s="670">
        <f t="shared" si="20"/>
        <v>2.3710466813596481E-2</v>
      </c>
      <c r="CC24" s="670">
        <f t="shared" si="20"/>
        <v>2.2599873240765858E-2</v>
      </c>
      <c r="CD24" s="670">
        <f t="shared" si="20"/>
        <v>2.1541299651080627E-2</v>
      </c>
      <c r="CE24" s="670">
        <f t="shared" si="20"/>
        <v>2.0532309438825926E-2</v>
      </c>
      <c r="CF24" s="670">
        <f t="shared" si="20"/>
        <v>1.957058012841633E-2</v>
      </c>
      <c r="CG24" s="670">
        <f t="shared" si="20"/>
        <v>1.8653898028563185E-2</v>
      </c>
      <c r="CH24" s="670">
        <f t="shared" si="20"/>
        <v>1.7780153136839658E-2</v>
      </c>
      <c r="CI24" s="670">
        <f t="shared" si="20"/>
        <v>1.6947334282914985E-2</v>
      </c>
      <c r="CJ24" s="670">
        <f t="shared" si="20"/>
        <v>1.6153524499278652E-2</v>
      </c>
      <c r="CK24" s="670">
        <f t="shared" si="20"/>
        <v>1.5396896608798932E-2</v>
      </c>
      <c r="CL24" s="670">
        <f t="shared" si="20"/>
        <v>1.4675709018959322E-2</v>
      </c>
      <c r="CM24" s="670">
        <f t="shared" si="20"/>
        <v>1.3988301713092094E-2</v>
      </c>
      <c r="CN24" s="670">
        <f t="shared" si="20"/>
        <v>1.3333092429381696E-2</v>
      </c>
      <c r="CO24" s="670">
        <f t="shared" si="20"/>
        <v>1.2708573018842859E-2</v>
      </c>
      <c r="CP24" s="670">
        <f t="shared" si="20"/>
        <v>1.2113305973890287E-2</v>
      </c>
      <c r="CQ24" s="670">
        <f t="shared" si="20"/>
        <v>1.1545921119509483E-2</v>
      </c>
      <c r="CR24" s="670">
        <f t="shared" si="20"/>
        <v>1.1005112459412434E-2</v>
      </c>
      <c r="CS24" s="670">
        <f t="shared" si="20"/>
        <v>1.0489635169918793E-2</v>
      </c>
      <c r="CT24" s="670">
        <f t="shared" si="20"/>
        <v>9.9983027346430137E-3</v>
      </c>
      <c r="CU24" s="670">
        <f t="shared" si="20"/>
        <v>9.5299842133922258E-3</v>
      </c>
      <c r="CV24" s="670">
        <f t="shared" si="20"/>
        <v>9.0836016389883555E-3</v>
      </c>
      <c r="CW24" s="670">
        <f t="shared" si="20"/>
        <v>8.6581275360226029E-3</v>
      </c>
      <c r="CX24" s="670">
        <f t="shared" si="20"/>
        <v>8.2525825558309607E-3</v>
      </c>
      <c r="CY24" s="670">
        <f t="shared" si="20"/>
        <v>7.8660332222470156E-3</v>
      </c>
      <c r="CZ24" s="670">
        <f t="shared" si="20"/>
        <v>7.4975897829432318E-3</v>
      </c>
      <c r="DA24" s="670">
        <f t="shared" si="20"/>
        <v>7.1464041614150023E-3</v>
      </c>
      <c r="DB24" s="670">
        <f t="shared" si="20"/>
        <v>6.8116680048933478E-3</v>
      </c>
      <c r="DC24" s="670">
        <f t="shared" si="20"/>
        <v>6.4926108236929968E-3</v>
      </c>
      <c r="DD24" s="670">
        <f t="shared" si="20"/>
        <v>6.1884982177130453E-3</v>
      </c>
    </row>
    <row r="25" spans="1:108" x14ac:dyDescent="0.25">
      <c r="A25" s="20" t="s">
        <v>238</v>
      </c>
      <c r="B25" s="35">
        <f t="shared" ref="B25:AG25" si="21">B19*B20</f>
        <v>1</v>
      </c>
      <c r="C25" s="35">
        <f t="shared" si="21"/>
        <v>0.97584541062801944</v>
      </c>
      <c r="D25" s="35">
        <f t="shared" si="21"/>
        <v>0.9522742654437677</v>
      </c>
      <c r="E25" s="35">
        <f t="shared" si="21"/>
        <v>0.92927247159246906</v>
      </c>
      <c r="F25" s="35">
        <f t="shared" si="21"/>
        <v>0.90682627662646753</v>
      </c>
      <c r="G25" s="35">
        <f t="shared" si="21"/>
        <v>0.88492226028283316</v>
      </c>
      <c r="H25" s="35">
        <f t="shared" si="21"/>
        <v>0.86354732645957633</v>
      </c>
      <c r="I25" s="35">
        <f t="shared" si="21"/>
        <v>0.84268869538567359</v>
      </c>
      <c r="J25" s="35">
        <f t="shared" si="21"/>
        <v>0.82233389598022255</v>
      </c>
      <c r="K25" s="35">
        <f t="shared" si="21"/>
        <v>0.80247075839615933</v>
      </c>
      <c r="L25" s="35">
        <f t="shared" si="21"/>
        <v>0.78308740674407828</v>
      </c>
      <c r="M25" s="35">
        <f t="shared" si="21"/>
        <v>0.76417225199180605</v>
      </c>
      <c r="N25" s="35">
        <f t="shared" si="21"/>
        <v>0.74571398503548225</v>
      </c>
      <c r="O25" s="35">
        <f t="shared" si="21"/>
        <v>0.72770156993800694</v>
      </c>
      <c r="P25" s="35">
        <f t="shared" si="21"/>
        <v>0.71012423733080876</v>
      </c>
      <c r="Q25" s="35">
        <f t="shared" si="21"/>
        <v>0.69297147797499226</v>
      </c>
      <c r="R25" s="35">
        <f t="shared" si="21"/>
        <v>0.67623303647801181</v>
      </c>
      <c r="S25" s="35">
        <f t="shared" si="21"/>
        <v>0.65989890516211769</v>
      </c>
      <c r="T25" s="35">
        <f t="shared" si="21"/>
        <v>0.64395931808090734</v>
      </c>
      <c r="U25" s="35">
        <f t="shared" si="21"/>
        <v>0.62840474518040235</v>
      </c>
      <c r="V25" s="35">
        <f t="shared" si="21"/>
        <v>0.61322588660116573</v>
      </c>
      <c r="W25" s="35">
        <f t="shared" si="21"/>
        <v>0.59841366711804578</v>
      </c>
      <c r="X25" s="35">
        <f t="shared" si="21"/>
        <v>0.58395923071422839</v>
      </c>
      <c r="Y25" s="35">
        <f t="shared" si="21"/>
        <v>0.56985393528634853</v>
      </c>
      <c r="Z25" s="35">
        <f t="shared" si="21"/>
        <v>0.55608934747749961</v>
      </c>
      <c r="AA25" s="35">
        <f t="shared" si="21"/>
        <v>0.54265723763504792</v>
      </c>
      <c r="AB25" s="35">
        <f t="shared" si="21"/>
        <v>0.52954957489024002</v>
      </c>
      <c r="AC25" s="35">
        <f t="shared" si="21"/>
        <v>0.51675852235665931</v>
      </c>
      <c r="AD25" s="35">
        <f t="shared" si="21"/>
        <v>0.5042764324446628</v>
      </c>
      <c r="AE25" s="35">
        <f t="shared" si="21"/>
        <v>0.49209584228899472</v>
      </c>
      <c r="AF25" s="35">
        <f t="shared" si="21"/>
        <v>0.48020946928684516</v>
      </c>
      <c r="AG25" s="35">
        <f t="shared" si="21"/>
        <v>0.46861020674368464</v>
      </c>
      <c r="AH25" s="35">
        <f t="shared" ref="AH25:BM25" si="22">AH19*AH20</f>
        <v>0.45729111962427205</v>
      </c>
      <c r="AI25" s="35">
        <f t="shared" si="22"/>
        <v>0.44624544040629449</v>
      </c>
      <c r="AJ25" s="35">
        <f t="shared" si="22"/>
        <v>0.43546656503416187</v>
      </c>
      <c r="AK25" s="35">
        <f t="shared" si="22"/>
        <v>0.42494804897053473</v>
      </c>
      <c r="AL25" s="35">
        <f t="shared" si="22"/>
        <v>0.41468360334322718</v>
      </c>
      <c r="AM25" s="35">
        <f t="shared" si="22"/>
        <v>0.40466709118517824</v>
      </c>
      <c r="AN25" s="35">
        <f t="shared" si="22"/>
        <v>0.39489252376524647</v>
      </c>
      <c r="AO25" s="35">
        <f t="shared" si="22"/>
        <v>0.38535405700763187</v>
      </c>
      <c r="AP25" s="35">
        <f t="shared" si="22"/>
        <v>0.37604598799778571</v>
      </c>
      <c r="AQ25" s="35">
        <f t="shared" si="22"/>
        <v>0.36696275157271846</v>
      </c>
      <c r="AR25" s="35">
        <f t="shared" si="22"/>
        <v>0.3580989169936673</v>
      </c>
      <c r="AS25" s="35">
        <f t="shared" si="22"/>
        <v>0.34944918469913439</v>
      </c>
      <c r="AT25" s="35">
        <f t="shared" si="22"/>
        <v>0.3410083831363534</v>
      </c>
      <c r="AU25" s="35">
        <f t="shared" si="22"/>
        <v>0.33277146566929178</v>
      </c>
      <c r="AV25" s="35">
        <f t="shared" si="22"/>
        <v>0.3247335075613379</v>
      </c>
      <c r="AW25" s="35">
        <f t="shared" si="22"/>
        <v>0.31688970303087083</v>
      </c>
      <c r="AX25" s="35">
        <f t="shared" si="22"/>
        <v>0.30923536237795129</v>
      </c>
      <c r="AY25" s="35">
        <f t="shared" si="22"/>
        <v>0.30176590918041629</v>
      </c>
      <c r="AZ25" s="35">
        <f t="shared" si="22"/>
        <v>0.29447687755770091</v>
      </c>
      <c r="BA25" s="35">
        <f t="shared" si="22"/>
        <v>0.28736390950075164</v>
      </c>
      <c r="BB25" s="35">
        <f t="shared" si="22"/>
        <v>0.28042275226643404</v>
      </c>
      <c r="BC25" s="35">
        <f t="shared" si="22"/>
        <v>0.27364925583487765</v>
      </c>
      <c r="BD25" s="35">
        <f t="shared" si="22"/>
        <v>0.26703937042823811</v>
      </c>
      <c r="BE25" s="35">
        <f t="shared" si="22"/>
        <v>0.26058914408939182</v>
      </c>
      <c r="BF25" s="35">
        <f t="shared" si="22"/>
        <v>0.25429472031911665</v>
      </c>
      <c r="BG25" s="35">
        <f t="shared" si="22"/>
        <v>0.24815233577034576</v>
      </c>
      <c r="BH25" s="35">
        <f t="shared" si="22"/>
        <v>0.24215831799811521</v>
      </c>
      <c r="BI25" s="35">
        <f t="shared" si="22"/>
        <v>0.23630908326386127</v>
      </c>
      <c r="BJ25" s="35">
        <f t="shared" si="22"/>
        <v>0.23060113439275351</v>
      </c>
      <c r="BK25" s="35">
        <f t="shared" si="22"/>
        <v>0.22503105868278364</v>
      </c>
      <c r="BL25" s="35">
        <f t="shared" si="22"/>
        <v>0.21959552586435896</v>
      </c>
      <c r="BM25" s="35">
        <f t="shared" si="22"/>
        <v>0.21429128610918119</v>
      </c>
      <c r="BN25" s="35">
        <f t="shared" ref="BN25:CS25" si="23">BN19*BN20</f>
        <v>0.2091151680872203</v>
      </c>
      <c r="BO25" s="35">
        <f t="shared" si="23"/>
        <v>0.20406407707062083</v>
      </c>
      <c r="BP25" s="35">
        <f t="shared" si="23"/>
        <v>0.19913499308340776</v>
      </c>
      <c r="BQ25" s="35">
        <f t="shared" si="23"/>
        <v>0.19432496909588587</v>
      </c>
      <c r="BR25" s="35">
        <f t="shared" si="23"/>
        <v>0.18963112926265194</v>
      </c>
      <c r="BS25" s="35">
        <f t="shared" si="23"/>
        <v>0.1850506672031676</v>
      </c>
      <c r="BT25" s="35">
        <f t="shared" si="23"/>
        <v>0.18058084432386404</v>
      </c>
      <c r="BU25" s="35">
        <f t="shared" si="23"/>
        <v>0.17621898818077555</v>
      </c>
      <c r="BV25" s="35">
        <f t="shared" si="23"/>
        <v>0.171962490881723</v>
      </c>
      <c r="BW25" s="35">
        <f t="shared" si="23"/>
        <v>0.16780880752709207</v>
      </c>
      <c r="BX25" s="35">
        <f t="shared" si="23"/>
        <v>0.16375545468827338</v>
      </c>
      <c r="BY25" s="35">
        <f t="shared" si="23"/>
        <v>0.1598000089228562</v>
      </c>
      <c r="BZ25" s="35">
        <f t="shared" si="23"/>
        <v>0.15594010532568578</v>
      </c>
      <c r="CA25" s="35">
        <f t="shared" si="23"/>
        <v>0.15217343611492043</v>
      </c>
      <c r="CB25" s="35">
        <f t="shared" si="23"/>
        <v>0.14849774925224121</v>
      </c>
      <c r="CC25" s="35">
        <f t="shared" si="23"/>
        <v>0.14491084709638999</v>
      </c>
      <c r="CD25" s="35">
        <f t="shared" si="23"/>
        <v>0.14141058508923082</v>
      </c>
      <c r="CE25" s="35">
        <f t="shared" si="23"/>
        <v>0.13799487047354891</v>
      </c>
      <c r="CF25" s="35">
        <f t="shared" si="23"/>
        <v>0.13466166104182067</v>
      </c>
      <c r="CG25" s="35">
        <f t="shared" si="23"/>
        <v>0.13140896391520665</v>
      </c>
      <c r="CH25" s="35">
        <f t="shared" si="23"/>
        <v>0.12823483435203742</v>
      </c>
      <c r="CI25" s="35">
        <f t="shared" si="23"/>
        <v>0.12513737458507998</v>
      </c>
      <c r="CJ25" s="35">
        <f t="shared" si="23"/>
        <v>0.12211473268688966</v>
      </c>
      <c r="CK25" s="35">
        <f t="shared" si="23"/>
        <v>0.11916510146256867</v>
      </c>
      <c r="CL25" s="35">
        <f t="shared" si="23"/>
        <v>0.11628671736926992</v>
      </c>
      <c r="CM25" s="35">
        <f t="shared" si="23"/>
        <v>0.11347785946179964</v>
      </c>
      <c r="CN25" s="35">
        <f t="shared" si="23"/>
        <v>0.11073684836368854</v>
      </c>
      <c r="CO25" s="35">
        <f t="shared" si="23"/>
        <v>0.10806204526311637</v>
      </c>
      <c r="CP25" s="35">
        <f t="shared" si="23"/>
        <v>0.10545185093308941</v>
      </c>
      <c r="CQ25" s="35">
        <f t="shared" si="23"/>
        <v>0.10290470477528534</v>
      </c>
      <c r="CR25" s="35">
        <f t="shared" si="23"/>
        <v>0.10041908388699342</v>
      </c>
      <c r="CS25" s="35">
        <f t="shared" si="23"/>
        <v>9.7993502150592618E-2</v>
      </c>
      <c r="CT25" s="35">
        <f t="shared" ref="CT25:DD25" si="24">CT19*CT20</f>
        <v>9.5626509345022759E-2</v>
      </c>
      <c r="CU25" s="35">
        <f t="shared" si="24"/>
        <v>9.3316690278717862E-2</v>
      </c>
      <c r="CV25" s="35">
        <f t="shared" si="24"/>
        <v>9.1062663943483155E-2</v>
      </c>
      <c r="CW25" s="35">
        <f t="shared" si="24"/>
        <v>8.8863082688809644E-2</v>
      </c>
      <c r="CX25" s="35">
        <f t="shared" si="24"/>
        <v>8.6716631416133089E-2</v>
      </c>
      <c r="CY25" s="35">
        <f t="shared" si="24"/>
        <v>8.4622026792555011E-2</v>
      </c>
      <c r="CZ25" s="35">
        <f t="shared" si="24"/>
        <v>8.2578016483556102E-2</v>
      </c>
      <c r="DA25" s="35">
        <f t="shared" si="24"/>
        <v>8.058337840424315E-2</v>
      </c>
      <c r="DB25" s="35">
        <f t="shared" si="24"/>
        <v>7.8636919988681719E-2</v>
      </c>
      <c r="DC25" s="35">
        <f t="shared" si="24"/>
        <v>7.6737477476877813E-2</v>
      </c>
      <c r="DD25" s="35">
        <f t="shared" si="24"/>
        <v>7.488391521898223E-2</v>
      </c>
    </row>
    <row r="26" spans="1:108" x14ac:dyDescent="0.25">
      <c r="A26" s="20" t="s">
        <v>239</v>
      </c>
      <c r="B26" s="34">
        <f t="shared" ref="B26:AG26" si="25">IF(AND(B16&lt;=($A$5+$A$7),B16&gt;$A$7),B25,0)</f>
        <v>1</v>
      </c>
      <c r="C26" s="34">
        <f t="shared" si="25"/>
        <v>0.97584541062801944</v>
      </c>
      <c r="D26" s="34">
        <f t="shared" si="25"/>
        <v>0.9522742654437677</v>
      </c>
      <c r="E26" s="34">
        <f t="shared" si="25"/>
        <v>0.92927247159246906</v>
      </c>
      <c r="F26" s="34">
        <f t="shared" si="25"/>
        <v>0.90682627662646753</v>
      </c>
      <c r="G26" s="34">
        <f t="shared" si="25"/>
        <v>0.88492226028283316</v>
      </c>
      <c r="H26" s="34">
        <f t="shared" si="25"/>
        <v>0.86354732645957633</v>
      </c>
      <c r="I26" s="34">
        <f t="shared" si="25"/>
        <v>0.84268869538567359</v>
      </c>
      <c r="J26" s="34">
        <f t="shared" si="25"/>
        <v>0.82233389598022255</v>
      </c>
      <c r="K26" s="34">
        <f t="shared" si="25"/>
        <v>0.80247075839615933</v>
      </c>
      <c r="L26" s="34">
        <f t="shared" si="25"/>
        <v>0.78308740674407828</v>
      </c>
      <c r="M26" s="34">
        <f t="shared" si="25"/>
        <v>0.76417225199180605</v>
      </c>
      <c r="N26" s="34">
        <f t="shared" si="25"/>
        <v>0.74571398503548225</v>
      </c>
      <c r="O26" s="34">
        <f t="shared" si="25"/>
        <v>0.72770156993800694</v>
      </c>
      <c r="P26" s="34">
        <f t="shared" si="25"/>
        <v>0.71012423733080876</v>
      </c>
      <c r="Q26" s="34">
        <f t="shared" si="25"/>
        <v>0.69297147797499226</v>
      </c>
      <c r="R26" s="34">
        <f t="shared" si="25"/>
        <v>0.67623303647801181</v>
      </c>
      <c r="S26" s="34">
        <f t="shared" si="25"/>
        <v>0.65989890516211769</v>
      </c>
      <c r="T26" s="34">
        <f t="shared" si="25"/>
        <v>0.64395931808090734</v>
      </c>
      <c r="U26" s="34">
        <f t="shared" si="25"/>
        <v>0.62840474518040235</v>
      </c>
      <c r="V26" s="34">
        <f t="shared" si="25"/>
        <v>0.61322588660116573</v>
      </c>
      <c r="W26" s="34">
        <f t="shared" si="25"/>
        <v>0.59841366711804578</v>
      </c>
      <c r="X26" s="34">
        <f t="shared" si="25"/>
        <v>0.58395923071422839</v>
      </c>
      <c r="Y26" s="34">
        <f t="shared" si="25"/>
        <v>0.56985393528634853</v>
      </c>
      <c r="Z26" s="34">
        <f t="shared" si="25"/>
        <v>0.55608934747749961</v>
      </c>
      <c r="AA26" s="34">
        <f t="shared" si="25"/>
        <v>0.54265723763504792</v>
      </c>
      <c r="AB26" s="34">
        <f t="shared" si="25"/>
        <v>0.52954957489024002</v>
      </c>
      <c r="AC26" s="34">
        <f t="shared" si="25"/>
        <v>0.51675852235665931</v>
      </c>
      <c r="AD26" s="34">
        <f t="shared" si="25"/>
        <v>0.5042764324446628</v>
      </c>
      <c r="AE26" s="34">
        <f t="shared" si="25"/>
        <v>0.49209584228899472</v>
      </c>
      <c r="AF26" s="34">
        <f t="shared" si="25"/>
        <v>0.48020946928684516</v>
      </c>
      <c r="AG26" s="34">
        <f t="shared" si="25"/>
        <v>0.46861020674368464</v>
      </c>
      <c r="AH26" s="34">
        <f t="shared" ref="AH26:BM26" si="26">IF(AND(AH16&lt;=($A$5+$A$7),AH16&gt;$A$7),AH25,0)</f>
        <v>0.45729111962427205</v>
      </c>
      <c r="AI26" s="34">
        <f t="shared" si="26"/>
        <v>0.44624544040629449</v>
      </c>
      <c r="AJ26" s="34">
        <f t="shared" si="26"/>
        <v>0.43546656503416187</v>
      </c>
      <c r="AK26" s="34">
        <f t="shared" si="26"/>
        <v>0.42494804897053473</v>
      </c>
      <c r="AL26" s="34">
        <f t="shared" si="26"/>
        <v>0.41468360334322718</v>
      </c>
      <c r="AM26" s="34">
        <f t="shared" si="26"/>
        <v>0.40466709118517824</v>
      </c>
      <c r="AN26" s="34">
        <f t="shared" si="26"/>
        <v>0.39489252376524647</v>
      </c>
      <c r="AO26" s="34">
        <f t="shared" si="26"/>
        <v>0.38535405700763187</v>
      </c>
      <c r="AP26" s="34">
        <f t="shared" si="26"/>
        <v>0.37604598799778571</v>
      </c>
      <c r="AQ26" s="34">
        <f t="shared" si="26"/>
        <v>0.36696275157271846</v>
      </c>
      <c r="AR26" s="34">
        <f t="shared" si="26"/>
        <v>0.3580989169936673</v>
      </c>
      <c r="AS26" s="34">
        <f t="shared" si="26"/>
        <v>0.34944918469913439</v>
      </c>
      <c r="AT26" s="34">
        <f t="shared" si="26"/>
        <v>0.3410083831363534</v>
      </c>
      <c r="AU26" s="34">
        <f t="shared" si="26"/>
        <v>0.33277146566929178</v>
      </c>
      <c r="AV26" s="34">
        <f t="shared" si="26"/>
        <v>0.3247335075613379</v>
      </c>
      <c r="AW26" s="34">
        <f t="shared" si="26"/>
        <v>0.31688970303087083</v>
      </c>
      <c r="AX26" s="34">
        <f t="shared" si="26"/>
        <v>0.30923536237795129</v>
      </c>
      <c r="AY26" s="34">
        <f t="shared" si="26"/>
        <v>0.30176590918041629</v>
      </c>
      <c r="AZ26" s="34">
        <f t="shared" si="26"/>
        <v>0.29447687755770091</v>
      </c>
      <c r="BA26" s="34">
        <f t="shared" si="26"/>
        <v>0.28736390950075164</v>
      </c>
      <c r="BB26" s="34">
        <f t="shared" si="26"/>
        <v>0.28042275226643404</v>
      </c>
      <c r="BC26" s="34">
        <f t="shared" si="26"/>
        <v>0.27364925583487765</v>
      </c>
      <c r="BD26" s="34">
        <f t="shared" si="26"/>
        <v>0.26703937042823811</v>
      </c>
      <c r="BE26" s="34">
        <f t="shared" si="26"/>
        <v>0.26058914408939182</v>
      </c>
      <c r="BF26" s="34">
        <f t="shared" si="26"/>
        <v>0.25429472031911665</v>
      </c>
      <c r="BG26" s="34">
        <f t="shared" si="26"/>
        <v>0.24815233577034576</v>
      </c>
      <c r="BH26" s="34">
        <f t="shared" si="26"/>
        <v>0.24215831799811521</v>
      </c>
      <c r="BI26" s="34">
        <f t="shared" si="26"/>
        <v>0.23630908326386127</v>
      </c>
      <c r="BJ26" s="34">
        <f t="shared" si="26"/>
        <v>0</v>
      </c>
      <c r="BK26" s="34">
        <f t="shared" si="26"/>
        <v>0</v>
      </c>
      <c r="BL26" s="34">
        <f t="shared" si="26"/>
        <v>0</v>
      </c>
      <c r="BM26" s="34">
        <f t="shared" si="26"/>
        <v>0</v>
      </c>
      <c r="BN26" s="34">
        <f t="shared" ref="BN26:CS26" si="27">IF(AND(BN16&lt;=($A$5+$A$7),BN16&gt;$A$7),BN25,0)</f>
        <v>0</v>
      </c>
      <c r="BO26" s="34">
        <f t="shared" si="27"/>
        <v>0</v>
      </c>
      <c r="BP26" s="34">
        <f t="shared" si="27"/>
        <v>0</v>
      </c>
      <c r="BQ26" s="34">
        <f t="shared" si="27"/>
        <v>0</v>
      </c>
      <c r="BR26" s="34">
        <f t="shared" si="27"/>
        <v>0</v>
      </c>
      <c r="BS26" s="34">
        <f t="shared" si="27"/>
        <v>0</v>
      </c>
      <c r="BT26" s="34">
        <f t="shared" si="27"/>
        <v>0</v>
      </c>
      <c r="BU26" s="34">
        <f t="shared" si="27"/>
        <v>0</v>
      </c>
      <c r="BV26" s="34">
        <f t="shared" si="27"/>
        <v>0</v>
      </c>
      <c r="BW26" s="34">
        <f t="shared" si="27"/>
        <v>0</v>
      </c>
      <c r="BX26" s="34">
        <f t="shared" si="27"/>
        <v>0</v>
      </c>
      <c r="BY26" s="34">
        <f t="shared" si="27"/>
        <v>0</v>
      </c>
      <c r="BZ26" s="34">
        <f t="shared" si="27"/>
        <v>0</v>
      </c>
      <c r="CA26" s="34">
        <f t="shared" si="27"/>
        <v>0</v>
      </c>
      <c r="CB26" s="34">
        <f t="shared" si="27"/>
        <v>0</v>
      </c>
      <c r="CC26" s="34">
        <f t="shared" si="27"/>
        <v>0</v>
      </c>
      <c r="CD26" s="34">
        <f t="shared" si="27"/>
        <v>0</v>
      </c>
      <c r="CE26" s="34">
        <f t="shared" si="27"/>
        <v>0</v>
      </c>
      <c r="CF26" s="34">
        <f t="shared" si="27"/>
        <v>0</v>
      </c>
      <c r="CG26" s="34">
        <f t="shared" si="27"/>
        <v>0</v>
      </c>
      <c r="CH26" s="34">
        <f t="shared" si="27"/>
        <v>0</v>
      </c>
      <c r="CI26" s="34">
        <f t="shared" si="27"/>
        <v>0</v>
      </c>
      <c r="CJ26" s="34">
        <f t="shared" si="27"/>
        <v>0</v>
      </c>
      <c r="CK26" s="34">
        <f t="shared" si="27"/>
        <v>0</v>
      </c>
      <c r="CL26" s="34">
        <f t="shared" si="27"/>
        <v>0</v>
      </c>
      <c r="CM26" s="34">
        <f t="shared" si="27"/>
        <v>0</v>
      </c>
      <c r="CN26" s="34">
        <f t="shared" si="27"/>
        <v>0</v>
      </c>
      <c r="CO26" s="34">
        <f t="shared" si="27"/>
        <v>0</v>
      </c>
      <c r="CP26" s="34">
        <f t="shared" si="27"/>
        <v>0</v>
      </c>
      <c r="CQ26" s="34">
        <f t="shared" si="27"/>
        <v>0</v>
      </c>
      <c r="CR26" s="34">
        <f t="shared" si="27"/>
        <v>0</v>
      </c>
      <c r="CS26" s="34">
        <f t="shared" si="27"/>
        <v>0</v>
      </c>
      <c r="CT26" s="34">
        <f t="shared" ref="CT26:DD26" si="28">IF(AND(CT16&lt;=($A$5+$A$7),CT16&gt;$A$7),CT25,0)</f>
        <v>0</v>
      </c>
      <c r="CU26" s="34">
        <f t="shared" si="28"/>
        <v>0</v>
      </c>
      <c r="CV26" s="34">
        <f t="shared" si="28"/>
        <v>0</v>
      </c>
      <c r="CW26" s="34">
        <f t="shared" si="28"/>
        <v>0</v>
      </c>
      <c r="CX26" s="34">
        <f t="shared" si="28"/>
        <v>0</v>
      </c>
      <c r="CY26" s="34">
        <f t="shared" si="28"/>
        <v>0</v>
      </c>
      <c r="CZ26" s="34">
        <f t="shared" si="28"/>
        <v>0</v>
      </c>
      <c r="DA26" s="34">
        <f t="shared" si="28"/>
        <v>0</v>
      </c>
      <c r="DB26" s="34">
        <f t="shared" si="28"/>
        <v>0</v>
      </c>
      <c r="DC26" s="34">
        <f t="shared" si="28"/>
        <v>0</v>
      </c>
      <c r="DD26" s="34">
        <f t="shared" si="28"/>
        <v>0</v>
      </c>
    </row>
    <row r="27" spans="1:108" x14ac:dyDescent="0.25">
      <c r="A27" s="20" t="s">
        <v>240</v>
      </c>
      <c r="B27" s="35">
        <f t="shared" ref="B27:AG27" si="29">IF(B16&lt;=$A$7, B19, 0)</f>
        <v>0</v>
      </c>
      <c r="C27" s="35">
        <f t="shared" si="29"/>
        <v>0</v>
      </c>
      <c r="D27" s="35">
        <f t="shared" si="29"/>
        <v>0</v>
      </c>
      <c r="E27" s="35">
        <f t="shared" si="29"/>
        <v>0</v>
      </c>
      <c r="F27" s="35">
        <f t="shared" si="29"/>
        <v>0</v>
      </c>
      <c r="G27" s="35">
        <f t="shared" si="29"/>
        <v>0</v>
      </c>
      <c r="H27" s="35">
        <f t="shared" si="29"/>
        <v>0</v>
      </c>
      <c r="I27" s="35">
        <f t="shared" si="29"/>
        <v>0</v>
      </c>
      <c r="J27" s="35">
        <f t="shared" si="29"/>
        <v>0</v>
      </c>
      <c r="K27" s="35">
        <f t="shared" si="29"/>
        <v>0</v>
      </c>
      <c r="L27" s="35">
        <f t="shared" si="29"/>
        <v>0</v>
      </c>
      <c r="M27" s="35">
        <f t="shared" si="29"/>
        <v>0</v>
      </c>
      <c r="N27" s="35">
        <f t="shared" si="29"/>
        <v>0</v>
      </c>
      <c r="O27" s="35">
        <f t="shared" si="29"/>
        <v>0</v>
      </c>
      <c r="P27" s="35">
        <f t="shared" si="29"/>
        <v>0</v>
      </c>
      <c r="Q27" s="35">
        <f t="shared" si="29"/>
        <v>0</v>
      </c>
      <c r="R27" s="35">
        <f t="shared" si="29"/>
        <v>0</v>
      </c>
      <c r="S27" s="35">
        <f t="shared" si="29"/>
        <v>0</v>
      </c>
      <c r="T27" s="35">
        <f t="shared" si="29"/>
        <v>0</v>
      </c>
      <c r="U27" s="35">
        <f t="shared" si="29"/>
        <v>0</v>
      </c>
      <c r="V27" s="35">
        <f t="shared" si="29"/>
        <v>0</v>
      </c>
      <c r="W27" s="35">
        <f t="shared" si="29"/>
        <v>0</v>
      </c>
      <c r="X27" s="35">
        <f t="shared" si="29"/>
        <v>0</v>
      </c>
      <c r="Y27" s="35">
        <f t="shared" si="29"/>
        <v>0</v>
      </c>
      <c r="Z27" s="35">
        <f t="shared" si="29"/>
        <v>0</v>
      </c>
      <c r="AA27" s="35">
        <f t="shared" si="29"/>
        <v>0</v>
      </c>
      <c r="AB27" s="35">
        <f t="shared" si="29"/>
        <v>0</v>
      </c>
      <c r="AC27" s="35">
        <f t="shared" si="29"/>
        <v>0</v>
      </c>
      <c r="AD27" s="35">
        <f t="shared" si="29"/>
        <v>0</v>
      </c>
      <c r="AE27" s="35">
        <f t="shared" si="29"/>
        <v>0</v>
      </c>
      <c r="AF27" s="35">
        <f t="shared" si="29"/>
        <v>0</v>
      </c>
      <c r="AG27" s="35">
        <f t="shared" si="29"/>
        <v>0</v>
      </c>
      <c r="AH27" s="35">
        <f t="shared" ref="AH27:BM27" si="30">IF(AH16&lt;=$A$7, AH19, 0)</f>
        <v>0</v>
      </c>
      <c r="AI27" s="35">
        <f t="shared" si="30"/>
        <v>0</v>
      </c>
      <c r="AJ27" s="35">
        <f t="shared" si="30"/>
        <v>0</v>
      </c>
      <c r="AK27" s="35">
        <f t="shared" si="30"/>
        <v>0</v>
      </c>
      <c r="AL27" s="35">
        <f t="shared" si="30"/>
        <v>0</v>
      </c>
      <c r="AM27" s="35">
        <f t="shared" si="30"/>
        <v>0</v>
      </c>
      <c r="AN27" s="35">
        <f t="shared" si="30"/>
        <v>0</v>
      </c>
      <c r="AO27" s="35">
        <f t="shared" si="30"/>
        <v>0</v>
      </c>
      <c r="AP27" s="35">
        <f t="shared" si="30"/>
        <v>0</v>
      </c>
      <c r="AQ27" s="35">
        <f t="shared" si="30"/>
        <v>0</v>
      </c>
      <c r="AR27" s="35">
        <f t="shared" si="30"/>
        <v>0</v>
      </c>
      <c r="AS27" s="35">
        <f t="shared" si="30"/>
        <v>0</v>
      </c>
      <c r="AT27" s="35">
        <f t="shared" si="30"/>
        <v>0</v>
      </c>
      <c r="AU27" s="35">
        <f t="shared" si="30"/>
        <v>0</v>
      </c>
      <c r="AV27" s="35">
        <f t="shared" si="30"/>
        <v>0</v>
      </c>
      <c r="AW27" s="35">
        <f t="shared" si="30"/>
        <v>0</v>
      </c>
      <c r="AX27" s="35">
        <f t="shared" si="30"/>
        <v>0</v>
      </c>
      <c r="AY27" s="35">
        <f t="shared" si="30"/>
        <v>0</v>
      </c>
      <c r="AZ27" s="35">
        <f t="shared" si="30"/>
        <v>0</v>
      </c>
      <c r="BA27" s="35">
        <f t="shared" si="30"/>
        <v>0</v>
      </c>
      <c r="BB27" s="35">
        <f t="shared" si="30"/>
        <v>0</v>
      </c>
      <c r="BC27" s="35">
        <f t="shared" si="30"/>
        <v>0</v>
      </c>
      <c r="BD27" s="35">
        <f t="shared" si="30"/>
        <v>0</v>
      </c>
      <c r="BE27" s="35">
        <f t="shared" si="30"/>
        <v>0</v>
      </c>
      <c r="BF27" s="35">
        <f t="shared" si="30"/>
        <v>0</v>
      </c>
      <c r="BG27" s="35">
        <f t="shared" si="30"/>
        <v>0</v>
      </c>
      <c r="BH27" s="35">
        <f t="shared" si="30"/>
        <v>0</v>
      </c>
      <c r="BI27" s="35">
        <f t="shared" si="30"/>
        <v>0</v>
      </c>
      <c r="BJ27" s="35">
        <f t="shared" si="30"/>
        <v>0</v>
      </c>
      <c r="BK27" s="35">
        <f t="shared" si="30"/>
        <v>0</v>
      </c>
      <c r="BL27" s="35">
        <f t="shared" si="30"/>
        <v>0</v>
      </c>
      <c r="BM27" s="35">
        <f t="shared" si="30"/>
        <v>0</v>
      </c>
      <c r="BN27" s="35">
        <f t="shared" ref="BN27:CS27" si="31">IF(BN16&lt;=$A$7, BN19, 0)</f>
        <v>0</v>
      </c>
      <c r="BO27" s="35">
        <f t="shared" si="31"/>
        <v>0</v>
      </c>
      <c r="BP27" s="35">
        <f t="shared" si="31"/>
        <v>0</v>
      </c>
      <c r="BQ27" s="35">
        <f t="shared" si="31"/>
        <v>0</v>
      </c>
      <c r="BR27" s="35">
        <f t="shared" si="31"/>
        <v>0</v>
      </c>
      <c r="BS27" s="35">
        <f t="shared" si="31"/>
        <v>0</v>
      </c>
      <c r="BT27" s="35">
        <f t="shared" si="31"/>
        <v>0</v>
      </c>
      <c r="BU27" s="35">
        <f t="shared" si="31"/>
        <v>0</v>
      </c>
      <c r="BV27" s="35">
        <f t="shared" si="31"/>
        <v>0</v>
      </c>
      <c r="BW27" s="35">
        <f t="shared" si="31"/>
        <v>0</v>
      </c>
      <c r="BX27" s="35">
        <f t="shared" si="31"/>
        <v>0</v>
      </c>
      <c r="BY27" s="35">
        <f t="shared" si="31"/>
        <v>0</v>
      </c>
      <c r="BZ27" s="35">
        <f t="shared" si="31"/>
        <v>0</v>
      </c>
      <c r="CA27" s="35">
        <f t="shared" si="31"/>
        <v>0</v>
      </c>
      <c r="CB27" s="35">
        <f t="shared" si="31"/>
        <v>0</v>
      </c>
      <c r="CC27" s="35">
        <f t="shared" si="31"/>
        <v>0</v>
      </c>
      <c r="CD27" s="35">
        <f t="shared" si="31"/>
        <v>0</v>
      </c>
      <c r="CE27" s="35">
        <f t="shared" si="31"/>
        <v>0</v>
      </c>
      <c r="CF27" s="35">
        <f t="shared" si="31"/>
        <v>0</v>
      </c>
      <c r="CG27" s="35">
        <f t="shared" si="31"/>
        <v>0</v>
      </c>
      <c r="CH27" s="35">
        <f t="shared" si="31"/>
        <v>0</v>
      </c>
      <c r="CI27" s="35">
        <f t="shared" si="31"/>
        <v>0</v>
      </c>
      <c r="CJ27" s="35">
        <f t="shared" si="31"/>
        <v>0</v>
      </c>
      <c r="CK27" s="35">
        <f t="shared" si="31"/>
        <v>0</v>
      </c>
      <c r="CL27" s="35">
        <f t="shared" si="31"/>
        <v>0</v>
      </c>
      <c r="CM27" s="35">
        <f t="shared" si="31"/>
        <v>0</v>
      </c>
      <c r="CN27" s="35">
        <f t="shared" si="31"/>
        <v>0</v>
      </c>
      <c r="CO27" s="35">
        <f t="shared" si="31"/>
        <v>0</v>
      </c>
      <c r="CP27" s="35">
        <f t="shared" si="31"/>
        <v>0</v>
      </c>
      <c r="CQ27" s="35">
        <f t="shared" si="31"/>
        <v>0</v>
      </c>
      <c r="CR27" s="35">
        <f t="shared" si="31"/>
        <v>0</v>
      </c>
      <c r="CS27" s="35">
        <f t="shared" si="31"/>
        <v>0</v>
      </c>
      <c r="CT27" s="35">
        <f t="shared" ref="CT27:DD27" si="32">IF(CT16&lt;=$A$7, CT19, 0)</f>
        <v>0</v>
      </c>
      <c r="CU27" s="35">
        <f t="shared" si="32"/>
        <v>0</v>
      </c>
      <c r="CV27" s="35">
        <f t="shared" si="32"/>
        <v>0</v>
      </c>
      <c r="CW27" s="35">
        <f t="shared" si="32"/>
        <v>0</v>
      </c>
      <c r="CX27" s="35">
        <f t="shared" si="32"/>
        <v>0</v>
      </c>
      <c r="CY27" s="35">
        <f t="shared" si="32"/>
        <v>0</v>
      </c>
      <c r="CZ27" s="35">
        <f t="shared" si="32"/>
        <v>0</v>
      </c>
      <c r="DA27" s="35">
        <f t="shared" si="32"/>
        <v>0</v>
      </c>
      <c r="DB27" s="35">
        <f t="shared" si="32"/>
        <v>0</v>
      </c>
      <c r="DC27" s="35">
        <f t="shared" si="32"/>
        <v>0</v>
      </c>
      <c r="DD27" s="35">
        <f t="shared" si="32"/>
        <v>0</v>
      </c>
    </row>
    <row r="28" spans="1:108" x14ac:dyDescent="0.25">
      <c r="A28" s="36" t="s">
        <v>241</v>
      </c>
      <c r="B28" s="35">
        <f t="shared" ref="B28:AG28" si="33">IF(AND(B16&lt;=($A$5+$A$7),B16&gt;$A$7),B19,0)</f>
        <v>1</v>
      </c>
      <c r="C28" s="35">
        <f t="shared" si="33"/>
        <v>0.96618357487922713</v>
      </c>
      <c r="D28" s="35">
        <f t="shared" si="33"/>
        <v>0.93351070036640305</v>
      </c>
      <c r="E28" s="35">
        <f t="shared" si="33"/>
        <v>0.90194270566802237</v>
      </c>
      <c r="F28" s="35">
        <f t="shared" si="33"/>
        <v>0.87144222769857238</v>
      </c>
      <c r="G28" s="35">
        <f t="shared" si="33"/>
        <v>0.84197316685852419</v>
      </c>
      <c r="H28" s="35">
        <f t="shared" si="33"/>
        <v>0.81350064430775293</v>
      </c>
      <c r="I28" s="35">
        <f t="shared" si="33"/>
        <v>0.78599096068381935</v>
      </c>
      <c r="J28" s="35">
        <f t="shared" si="33"/>
        <v>0.75941155621625056</v>
      </c>
      <c r="K28" s="35">
        <f t="shared" si="33"/>
        <v>0.73373097218961414</v>
      </c>
      <c r="L28" s="35">
        <f t="shared" si="33"/>
        <v>0.70891881370977217</v>
      </c>
      <c r="M28" s="35">
        <f t="shared" si="33"/>
        <v>0.68494571372924862</v>
      </c>
      <c r="N28" s="35">
        <f t="shared" si="33"/>
        <v>0.66178329828912907</v>
      </c>
      <c r="O28" s="35">
        <f t="shared" si="33"/>
        <v>0.63940415293635666</v>
      </c>
      <c r="P28" s="35">
        <f t="shared" si="33"/>
        <v>0.61778179027667324</v>
      </c>
      <c r="Q28" s="35">
        <f t="shared" si="33"/>
        <v>0.59689061862480508</v>
      </c>
      <c r="R28" s="35">
        <f t="shared" si="33"/>
        <v>0.57670591171478758</v>
      </c>
      <c r="S28" s="35">
        <f t="shared" si="33"/>
        <v>0.55720377943457733</v>
      </c>
      <c r="T28" s="35">
        <f t="shared" si="33"/>
        <v>0.53836113955031639</v>
      </c>
      <c r="U28" s="35">
        <f t="shared" si="33"/>
        <v>0.52015569038677911</v>
      </c>
      <c r="V28" s="35">
        <f t="shared" si="33"/>
        <v>0.50256588443167072</v>
      </c>
      <c r="W28" s="35">
        <f t="shared" si="33"/>
        <v>0.48557090283253213</v>
      </c>
      <c r="X28" s="35">
        <f t="shared" si="33"/>
        <v>0.46915063075606978</v>
      </c>
      <c r="Y28" s="35">
        <f t="shared" si="33"/>
        <v>0.45328563358074375</v>
      </c>
      <c r="Z28" s="35">
        <f t="shared" si="33"/>
        <v>0.43795713389443841</v>
      </c>
      <c r="AA28" s="35">
        <f t="shared" si="33"/>
        <v>0.42314698926998884</v>
      </c>
      <c r="AB28" s="35">
        <f t="shared" si="33"/>
        <v>0.40883767079225974</v>
      </c>
      <c r="AC28" s="35">
        <f t="shared" si="33"/>
        <v>0.39501224231136212</v>
      </c>
      <c r="AD28" s="35">
        <f t="shared" si="33"/>
        <v>0.38165434039745133</v>
      </c>
      <c r="AE28" s="35">
        <f t="shared" si="33"/>
        <v>0.36874815497338298</v>
      </c>
      <c r="AF28" s="35">
        <f t="shared" si="33"/>
        <v>0.35627841060230242</v>
      </c>
      <c r="AG28" s="35">
        <f t="shared" si="33"/>
        <v>0.34423034840802169</v>
      </c>
      <c r="AH28" s="35">
        <f t="shared" ref="AH28:BM28" si="34">IF(AND(AH16&lt;=($A$5+$A$7),AH16&gt;$A$7),AH19,0)</f>
        <v>0.33258970860678427</v>
      </c>
      <c r="AI28" s="35">
        <f t="shared" si="34"/>
        <v>0.32134271362974326</v>
      </c>
      <c r="AJ28" s="35">
        <f t="shared" si="34"/>
        <v>0.3104760518161771</v>
      </c>
      <c r="AK28" s="35">
        <f t="shared" si="34"/>
        <v>0.29997686165814214</v>
      </c>
      <c r="AL28" s="35">
        <f t="shared" si="34"/>
        <v>0.28983271657791515</v>
      </c>
      <c r="AM28" s="35">
        <f t="shared" si="34"/>
        <v>0.28003161022020789</v>
      </c>
      <c r="AN28" s="35">
        <f t="shared" si="34"/>
        <v>0.27056194224174679</v>
      </c>
      <c r="AO28" s="35">
        <f t="shared" si="34"/>
        <v>0.26141250458139786</v>
      </c>
      <c r="AP28" s="35">
        <f t="shared" si="34"/>
        <v>0.25257246819458734</v>
      </c>
      <c r="AQ28" s="35">
        <f t="shared" si="34"/>
        <v>0.24403137023631627</v>
      </c>
      <c r="AR28" s="35">
        <f t="shared" si="34"/>
        <v>0.2357791016776003</v>
      </c>
      <c r="AS28" s="35">
        <f t="shared" si="34"/>
        <v>0.22780589534067666</v>
      </c>
      <c r="AT28" s="35">
        <f t="shared" si="34"/>
        <v>0.22010231433881805</v>
      </c>
      <c r="AU28" s="35">
        <f t="shared" si="34"/>
        <v>0.21265924090707061</v>
      </c>
      <c r="AV28" s="35">
        <f t="shared" si="34"/>
        <v>0.20546786561069624</v>
      </c>
      <c r="AW28" s="35">
        <f t="shared" si="34"/>
        <v>0.19851967691854711</v>
      </c>
      <c r="AX28" s="35">
        <f t="shared" si="34"/>
        <v>0.19180645112903105</v>
      </c>
      <c r="AY28" s="35">
        <f t="shared" si="34"/>
        <v>0.18532024263674501</v>
      </c>
      <c r="AZ28" s="35">
        <f t="shared" si="34"/>
        <v>0.17905337452825604</v>
      </c>
      <c r="BA28" s="35">
        <f t="shared" si="34"/>
        <v>0.17299842949589955</v>
      </c>
      <c r="BB28" s="35">
        <f t="shared" si="34"/>
        <v>0.16714824105884019</v>
      </c>
      <c r="BC28" s="35">
        <f t="shared" si="34"/>
        <v>0.16149588508100501</v>
      </c>
      <c r="BD28" s="35">
        <f t="shared" si="34"/>
        <v>0.15603467157585027</v>
      </c>
      <c r="BE28" s="35">
        <f t="shared" si="34"/>
        <v>0.15075813678826114</v>
      </c>
      <c r="BF28" s="35">
        <f t="shared" si="34"/>
        <v>0.14566003554421367</v>
      </c>
      <c r="BG28" s="35">
        <f t="shared" si="34"/>
        <v>0.14073433385914366</v>
      </c>
      <c r="BH28" s="35">
        <f t="shared" si="34"/>
        <v>0.13597520179627409</v>
      </c>
      <c r="BI28" s="35">
        <f t="shared" si="34"/>
        <v>0.13137700656644841</v>
      </c>
      <c r="BJ28" s="35">
        <f t="shared" si="34"/>
        <v>0</v>
      </c>
      <c r="BK28" s="35">
        <f t="shared" si="34"/>
        <v>0</v>
      </c>
      <c r="BL28" s="35">
        <f t="shared" si="34"/>
        <v>0</v>
      </c>
      <c r="BM28" s="35">
        <f t="shared" si="34"/>
        <v>0</v>
      </c>
      <c r="BN28" s="35">
        <f t="shared" ref="BN28:CS28" si="35">IF(AND(BN16&lt;=($A$5+$A$7),BN16&gt;$A$7),BN19,0)</f>
        <v>0</v>
      </c>
      <c r="BO28" s="35">
        <f t="shared" si="35"/>
        <v>0</v>
      </c>
      <c r="BP28" s="35">
        <f t="shared" si="35"/>
        <v>0</v>
      </c>
      <c r="BQ28" s="35">
        <f t="shared" si="35"/>
        <v>0</v>
      </c>
      <c r="BR28" s="35">
        <f t="shared" si="35"/>
        <v>0</v>
      </c>
      <c r="BS28" s="35">
        <f t="shared" si="35"/>
        <v>0</v>
      </c>
      <c r="BT28" s="35">
        <f t="shared" si="35"/>
        <v>0</v>
      </c>
      <c r="BU28" s="35">
        <f t="shared" si="35"/>
        <v>0</v>
      </c>
      <c r="BV28" s="35">
        <f t="shared" si="35"/>
        <v>0</v>
      </c>
      <c r="BW28" s="35">
        <f t="shared" si="35"/>
        <v>0</v>
      </c>
      <c r="BX28" s="35">
        <f t="shared" si="35"/>
        <v>0</v>
      </c>
      <c r="BY28" s="35">
        <f t="shared" si="35"/>
        <v>0</v>
      </c>
      <c r="BZ28" s="35">
        <f t="shared" si="35"/>
        <v>0</v>
      </c>
      <c r="CA28" s="35">
        <f t="shared" si="35"/>
        <v>0</v>
      </c>
      <c r="CB28" s="35">
        <f t="shared" si="35"/>
        <v>0</v>
      </c>
      <c r="CC28" s="35">
        <f t="shared" si="35"/>
        <v>0</v>
      </c>
      <c r="CD28" s="35">
        <f t="shared" si="35"/>
        <v>0</v>
      </c>
      <c r="CE28" s="35">
        <f t="shared" si="35"/>
        <v>0</v>
      </c>
      <c r="CF28" s="35">
        <f t="shared" si="35"/>
        <v>0</v>
      </c>
      <c r="CG28" s="35">
        <f t="shared" si="35"/>
        <v>0</v>
      </c>
      <c r="CH28" s="35">
        <f t="shared" si="35"/>
        <v>0</v>
      </c>
      <c r="CI28" s="35">
        <f t="shared" si="35"/>
        <v>0</v>
      </c>
      <c r="CJ28" s="35">
        <f t="shared" si="35"/>
        <v>0</v>
      </c>
      <c r="CK28" s="35">
        <f t="shared" si="35"/>
        <v>0</v>
      </c>
      <c r="CL28" s="35">
        <f t="shared" si="35"/>
        <v>0</v>
      </c>
      <c r="CM28" s="35">
        <f t="shared" si="35"/>
        <v>0</v>
      </c>
      <c r="CN28" s="35">
        <f t="shared" si="35"/>
        <v>0</v>
      </c>
      <c r="CO28" s="35">
        <f t="shared" si="35"/>
        <v>0</v>
      </c>
      <c r="CP28" s="35">
        <f t="shared" si="35"/>
        <v>0</v>
      </c>
      <c r="CQ28" s="35">
        <f t="shared" si="35"/>
        <v>0</v>
      </c>
      <c r="CR28" s="35">
        <f t="shared" si="35"/>
        <v>0</v>
      </c>
      <c r="CS28" s="35">
        <f t="shared" si="35"/>
        <v>0</v>
      </c>
      <c r="CT28" s="35">
        <f t="shared" ref="CT28:DD28" si="36">IF(AND(CT16&lt;=($A$5+$A$7),CT16&gt;$A$7),CT19,0)</f>
        <v>0</v>
      </c>
      <c r="CU28" s="35">
        <f t="shared" si="36"/>
        <v>0</v>
      </c>
      <c r="CV28" s="35">
        <f t="shared" si="36"/>
        <v>0</v>
      </c>
      <c r="CW28" s="35">
        <f t="shared" si="36"/>
        <v>0</v>
      </c>
      <c r="CX28" s="35">
        <f t="shared" si="36"/>
        <v>0</v>
      </c>
      <c r="CY28" s="35">
        <f t="shared" si="36"/>
        <v>0</v>
      </c>
      <c r="CZ28" s="35">
        <f t="shared" si="36"/>
        <v>0</v>
      </c>
      <c r="DA28" s="35">
        <f t="shared" si="36"/>
        <v>0</v>
      </c>
      <c r="DB28" s="35">
        <f t="shared" si="36"/>
        <v>0</v>
      </c>
      <c r="DC28" s="35">
        <f t="shared" si="36"/>
        <v>0</v>
      </c>
      <c r="DD28" s="35">
        <f t="shared" si="36"/>
        <v>0</v>
      </c>
    </row>
    <row r="30" spans="1:108" x14ac:dyDescent="0.25">
      <c r="A30" s="20" t="s">
        <v>242</v>
      </c>
      <c r="B30" s="34">
        <f>SUM(B26:DD26)</f>
        <v>31.853113036140144</v>
      </c>
    </row>
    <row r="31" spans="1:108" x14ac:dyDescent="0.25">
      <c r="A31" s="20" t="s">
        <v>243</v>
      </c>
      <c r="B31" s="35">
        <f>SUM(B28:DD28)</f>
        <v>25.817799812387246</v>
      </c>
    </row>
    <row r="32" spans="1:108" x14ac:dyDescent="0.25">
      <c r="A32" s="20" t="s">
        <v>244</v>
      </c>
      <c r="B32" s="35">
        <f>(IF($A$7&gt;0,SUM(B27:DD27)/$A$7,1))</f>
        <v>1</v>
      </c>
    </row>
    <row r="34" spans="1:108" x14ac:dyDescent="0.25">
      <c r="A34" s="20" t="s">
        <v>245</v>
      </c>
      <c r="B34" s="34">
        <f>B19</f>
        <v>1</v>
      </c>
      <c r="C34" s="34">
        <f>B34*(1+($C$12+$D$7)/100)</f>
        <v>1.0249999999999999</v>
      </c>
      <c r="D34" s="34">
        <f t="shared" ref="D34:J34" si="37">C34*(1+($C$12+$D$7)/100)</f>
        <v>1.0506249999999999</v>
      </c>
      <c r="E34" s="34">
        <f t="shared" si="37"/>
        <v>1.0768906249999999</v>
      </c>
      <c r="F34" s="34">
        <f t="shared" si="37"/>
        <v>1.1038128906249998</v>
      </c>
      <c r="G34" s="34">
        <f t="shared" si="37"/>
        <v>1.1314082128906247</v>
      </c>
      <c r="H34" s="34">
        <f t="shared" si="37"/>
        <v>1.1596934182128902</v>
      </c>
      <c r="I34" s="34">
        <f t="shared" si="37"/>
        <v>1.1886857536682123</v>
      </c>
      <c r="J34" s="34">
        <f t="shared" si="37"/>
        <v>1.2184028975099175</v>
      </c>
      <c r="K34" s="34">
        <f>J34*(1+($C$12+$D$8)/100)</f>
        <v>1.2488629699476652</v>
      </c>
      <c r="L34" s="34">
        <f t="shared" ref="L34:T34" si="38">K34*(1+($C$12+$D$8)/100)</f>
        <v>1.2800845441963566</v>
      </c>
      <c r="M34" s="34">
        <f t="shared" si="38"/>
        <v>1.3120866578012655</v>
      </c>
      <c r="N34" s="34">
        <f t="shared" si="38"/>
        <v>1.3448888242462971</v>
      </c>
      <c r="O34" s="34">
        <f t="shared" si="38"/>
        <v>1.3785110448524545</v>
      </c>
      <c r="P34" s="34">
        <f t="shared" si="38"/>
        <v>1.4129738209737657</v>
      </c>
      <c r="Q34" s="34">
        <f t="shared" si="38"/>
        <v>1.4482981664981096</v>
      </c>
      <c r="R34" s="34">
        <f t="shared" si="38"/>
        <v>1.4845056206605622</v>
      </c>
      <c r="S34" s="34">
        <f t="shared" si="38"/>
        <v>1.5216182611770761</v>
      </c>
      <c r="T34" s="34">
        <f t="shared" si="38"/>
        <v>1.5596587177065029</v>
      </c>
      <c r="U34" s="34">
        <f>T34*(1+($C$12+$D$9)/100)</f>
        <v>1.5986501856491653</v>
      </c>
      <c r="V34" s="34">
        <f t="shared" ref="V34:CG34" si="39">U34*(1+($C$12+$D$9)/100)</f>
        <v>1.6386164402903942</v>
      </c>
      <c r="W34" s="34">
        <f t="shared" si="39"/>
        <v>1.6795818512976539</v>
      </c>
      <c r="X34" s="34">
        <f t="shared" si="39"/>
        <v>1.721571397580095</v>
      </c>
      <c r="Y34" s="34">
        <f t="shared" si="39"/>
        <v>1.7646106825195973</v>
      </c>
      <c r="Z34" s="34">
        <f t="shared" si="39"/>
        <v>1.8087259495825871</v>
      </c>
      <c r="AA34" s="34">
        <f t="shared" si="39"/>
        <v>1.8539440983221516</v>
      </c>
      <c r="AB34" s="34">
        <f t="shared" si="39"/>
        <v>1.9002927007802053</v>
      </c>
      <c r="AC34" s="34">
        <f t="shared" si="39"/>
        <v>1.9478000182997102</v>
      </c>
      <c r="AD34" s="34">
        <f t="shared" si="39"/>
        <v>1.9964950187572028</v>
      </c>
      <c r="AE34" s="34">
        <f t="shared" si="39"/>
        <v>2.0464073942261325</v>
      </c>
      <c r="AF34" s="34">
        <f t="shared" si="39"/>
        <v>2.0975675790817858</v>
      </c>
      <c r="AG34" s="34">
        <f t="shared" si="39"/>
        <v>2.1500067685588302</v>
      </c>
      <c r="AH34" s="34">
        <f t="shared" si="39"/>
        <v>2.2037569377728006</v>
      </c>
      <c r="AI34" s="34">
        <f t="shared" si="39"/>
        <v>2.2588508612171205</v>
      </c>
      <c r="AJ34" s="34">
        <f t="shared" si="39"/>
        <v>2.3153221327475482</v>
      </c>
      <c r="AK34" s="34">
        <f t="shared" si="39"/>
        <v>2.3732051860662366</v>
      </c>
      <c r="AL34" s="34">
        <f t="shared" si="39"/>
        <v>2.4325353157178924</v>
      </c>
      <c r="AM34" s="34">
        <f t="shared" si="39"/>
        <v>2.4933486986108395</v>
      </c>
      <c r="AN34" s="34">
        <f t="shared" si="39"/>
        <v>2.5556824160761105</v>
      </c>
      <c r="AO34" s="34">
        <f t="shared" si="39"/>
        <v>2.6195744764780131</v>
      </c>
      <c r="AP34" s="34">
        <f t="shared" si="39"/>
        <v>2.6850638383899632</v>
      </c>
      <c r="AQ34" s="34">
        <f t="shared" si="39"/>
        <v>2.7521904343497119</v>
      </c>
      <c r="AR34" s="34">
        <f t="shared" si="39"/>
        <v>2.8209951952084547</v>
      </c>
      <c r="AS34" s="34">
        <f t="shared" si="39"/>
        <v>2.8915200750886658</v>
      </c>
      <c r="AT34" s="34">
        <f t="shared" si="39"/>
        <v>2.9638080769658823</v>
      </c>
      <c r="AU34" s="34">
        <f t="shared" si="39"/>
        <v>3.0379032788900293</v>
      </c>
      <c r="AV34" s="34">
        <f t="shared" si="39"/>
        <v>3.1138508608622799</v>
      </c>
      <c r="AW34" s="34">
        <f t="shared" si="39"/>
        <v>3.1916971323838368</v>
      </c>
      <c r="AX34" s="34">
        <f t="shared" si="39"/>
        <v>3.2714895606934324</v>
      </c>
      <c r="AY34" s="34">
        <f t="shared" si="39"/>
        <v>3.353276799710768</v>
      </c>
      <c r="AZ34" s="34">
        <f t="shared" si="39"/>
        <v>3.437108719703537</v>
      </c>
      <c r="BA34" s="34">
        <f t="shared" si="39"/>
        <v>3.523036437696125</v>
      </c>
      <c r="BB34" s="34">
        <f t="shared" si="39"/>
        <v>3.6111123486385277</v>
      </c>
      <c r="BC34" s="34">
        <f t="shared" si="39"/>
        <v>3.7013901573544907</v>
      </c>
      <c r="BD34" s="34">
        <f t="shared" si="39"/>
        <v>3.7939249112883529</v>
      </c>
      <c r="BE34" s="34">
        <f t="shared" si="39"/>
        <v>3.8887730340705615</v>
      </c>
      <c r="BF34" s="34">
        <f t="shared" si="39"/>
        <v>3.9859923599223253</v>
      </c>
      <c r="BG34" s="34">
        <f t="shared" si="39"/>
        <v>4.0856421689203835</v>
      </c>
      <c r="BH34" s="34">
        <f t="shared" si="39"/>
        <v>4.1877832231433922</v>
      </c>
      <c r="BI34" s="34">
        <f t="shared" si="39"/>
        <v>4.2924778037219768</v>
      </c>
      <c r="BJ34" s="34">
        <f t="shared" si="39"/>
        <v>4.3997897488150262</v>
      </c>
      <c r="BK34" s="34">
        <f t="shared" si="39"/>
        <v>4.5097844925354016</v>
      </c>
      <c r="BL34" s="34">
        <f t="shared" si="39"/>
        <v>4.6225291048487867</v>
      </c>
      <c r="BM34" s="34">
        <f t="shared" si="39"/>
        <v>4.7380923324700062</v>
      </c>
      <c r="BN34" s="34">
        <f t="shared" si="39"/>
        <v>4.8565446407817561</v>
      </c>
      <c r="BO34" s="34">
        <f t="shared" si="39"/>
        <v>4.9779582568012994</v>
      </c>
      <c r="BP34" s="34">
        <f t="shared" si="39"/>
        <v>5.1024072132213316</v>
      </c>
      <c r="BQ34" s="34">
        <f t="shared" si="39"/>
        <v>5.2299673935518642</v>
      </c>
      <c r="BR34" s="34">
        <f t="shared" si="39"/>
        <v>5.3607165783906607</v>
      </c>
      <c r="BS34" s="34">
        <f t="shared" si="39"/>
        <v>5.4947344928504265</v>
      </c>
      <c r="BT34" s="34">
        <f t="shared" si="39"/>
        <v>5.632102855171687</v>
      </c>
      <c r="BU34" s="34">
        <f t="shared" si="39"/>
        <v>5.7729054265509783</v>
      </c>
      <c r="BV34" s="34">
        <f t="shared" si="39"/>
        <v>5.9172280622147522</v>
      </c>
      <c r="BW34" s="34">
        <f t="shared" si="39"/>
        <v>6.0651587637701203</v>
      </c>
      <c r="BX34" s="34">
        <f t="shared" si="39"/>
        <v>6.2167877328643728</v>
      </c>
      <c r="BY34" s="34">
        <f t="shared" si="39"/>
        <v>6.372207426185982</v>
      </c>
      <c r="BZ34" s="34">
        <f t="shared" si="39"/>
        <v>6.5315126118406308</v>
      </c>
      <c r="CA34" s="34">
        <f t="shared" si="39"/>
        <v>6.6948004271366459</v>
      </c>
      <c r="CB34" s="34">
        <f t="shared" si="39"/>
        <v>6.8621704378150614</v>
      </c>
      <c r="CC34" s="34">
        <f t="shared" si="39"/>
        <v>7.0337246987604374</v>
      </c>
      <c r="CD34" s="34">
        <f t="shared" si="39"/>
        <v>7.2095678162294474</v>
      </c>
      <c r="CE34" s="34">
        <f t="shared" si="39"/>
        <v>7.3898070116351828</v>
      </c>
      <c r="CF34" s="34">
        <f t="shared" si="39"/>
        <v>7.5745521869260619</v>
      </c>
      <c r="CG34" s="34">
        <f t="shared" si="39"/>
        <v>7.7639159915992124</v>
      </c>
      <c r="CH34" s="34">
        <f t="shared" ref="CH34:DD34" si="40">CG34*(1+($C$12+$D$9)/100)</f>
        <v>7.958013891389192</v>
      </c>
      <c r="CI34" s="34">
        <f t="shared" si="40"/>
        <v>8.1569642386739218</v>
      </c>
      <c r="CJ34" s="34">
        <f t="shared" si="40"/>
        <v>8.3608883446407685</v>
      </c>
      <c r="CK34" s="34">
        <f t="shared" si="40"/>
        <v>8.5699105532567863</v>
      </c>
      <c r="CL34" s="34">
        <f t="shared" si="40"/>
        <v>8.784158317088206</v>
      </c>
      <c r="CM34" s="34">
        <f t="shared" si="40"/>
        <v>9.0037622750154096</v>
      </c>
      <c r="CN34" s="34">
        <f t="shared" si="40"/>
        <v>9.2288563318907944</v>
      </c>
      <c r="CO34" s="34">
        <f t="shared" si="40"/>
        <v>9.4595777401880632</v>
      </c>
      <c r="CP34" s="34">
        <f t="shared" si="40"/>
        <v>9.6960671836927634</v>
      </c>
      <c r="CQ34" s="34">
        <f t="shared" si="40"/>
        <v>9.9384688632850811</v>
      </c>
      <c r="CR34" s="34">
        <f t="shared" si="40"/>
        <v>10.186930584867207</v>
      </c>
      <c r="CS34" s="34">
        <f t="shared" si="40"/>
        <v>10.441603849488887</v>
      </c>
      <c r="CT34" s="34">
        <f t="shared" si="40"/>
        <v>10.702643945726109</v>
      </c>
      <c r="CU34" s="34">
        <f t="shared" si="40"/>
        <v>10.97021004436926</v>
      </c>
      <c r="CV34" s="34">
        <f t="shared" si="40"/>
        <v>11.244465295478491</v>
      </c>
      <c r="CW34" s="34">
        <f t="shared" si="40"/>
        <v>11.525576927865453</v>
      </c>
      <c r="CX34" s="34">
        <f t="shared" si="40"/>
        <v>11.813716351062089</v>
      </c>
      <c r="CY34" s="34">
        <f t="shared" si="40"/>
        <v>12.10905925983864</v>
      </c>
      <c r="CZ34" s="34">
        <f t="shared" si="40"/>
        <v>12.411785741334604</v>
      </c>
      <c r="DA34" s="34">
        <f t="shared" si="40"/>
        <v>12.722080384867969</v>
      </c>
      <c r="DB34" s="34">
        <f t="shared" si="40"/>
        <v>13.040132394489667</v>
      </c>
      <c r="DC34" s="34">
        <f t="shared" si="40"/>
        <v>13.366135704351908</v>
      </c>
      <c r="DD34" s="34">
        <f t="shared" si="40"/>
        <v>13.700289096960704</v>
      </c>
    </row>
    <row r="35" spans="1:108" x14ac:dyDescent="0.25">
      <c r="A35" s="20" t="s">
        <v>246</v>
      </c>
      <c r="B35" s="34">
        <f t="shared" ref="B35:AG35" si="41">IF(AND(B16&lt;=($A$5+$A$7),B16&gt;$A$7),B34*B19,0)</f>
        <v>1</v>
      </c>
      <c r="C35" s="34">
        <f t="shared" si="41"/>
        <v>0.99033816425120769</v>
      </c>
      <c r="D35" s="34">
        <f t="shared" si="41"/>
        <v>0.98076967957245209</v>
      </c>
      <c r="E35" s="34">
        <f t="shared" si="41"/>
        <v>0.97129364402102758</v>
      </c>
      <c r="F35" s="34">
        <f t="shared" si="41"/>
        <v>0.96190916436865037</v>
      </c>
      <c r="G35" s="34">
        <f t="shared" si="41"/>
        <v>0.95261535601726255</v>
      </c>
      <c r="H35" s="34">
        <f t="shared" si="41"/>
        <v>0.94341134291564654</v>
      </c>
      <c r="I35" s="34">
        <f t="shared" si="41"/>
        <v>0.93429625747684797</v>
      </c>
      <c r="J35" s="34">
        <f t="shared" si="41"/>
        <v>0.92526924049639525</v>
      </c>
      <c r="K35" s="34">
        <f t="shared" si="41"/>
        <v>0.91632944107130931</v>
      </c>
      <c r="L35" s="34">
        <f t="shared" si="41"/>
        <v>0.90747601651989562</v>
      </c>
      <c r="M35" s="34">
        <f t="shared" si="41"/>
        <v>0.89870813230231217</v>
      </c>
      <c r="N35" s="34">
        <f t="shared" si="41"/>
        <v>0.89002496194190328</v>
      </c>
      <c r="O35" s="34">
        <f t="shared" si="41"/>
        <v>0.88142568694729562</v>
      </c>
      <c r="P35" s="34">
        <f t="shared" si="41"/>
        <v>0.87290949673524454</v>
      </c>
      <c r="Q35" s="34">
        <f t="shared" si="41"/>
        <v>0.86447558855422757</v>
      </c>
      <c r="R35" s="34">
        <f t="shared" si="41"/>
        <v>0.85612316740877614</v>
      </c>
      <c r="S35" s="34">
        <f t="shared" si="41"/>
        <v>0.84785144598453654</v>
      </c>
      <c r="T35" s="34">
        <f t="shared" si="41"/>
        <v>0.83965964457405817</v>
      </c>
      <c r="U35" s="34">
        <f t="shared" si="41"/>
        <v>0.83154699100329421</v>
      </c>
      <c r="V35" s="34">
        <f t="shared" si="41"/>
        <v>0.82351272055881797</v>
      </c>
      <c r="W35" s="34">
        <f t="shared" si="41"/>
        <v>0.81555607591573753</v>
      </c>
      <c r="X35" s="34">
        <f t="shared" si="41"/>
        <v>0.80767630706631011</v>
      </c>
      <c r="Y35" s="34">
        <f t="shared" si="41"/>
        <v>0.79987267124924433</v>
      </c>
      <c r="Z35" s="34">
        <f t="shared" si="41"/>
        <v>0.79214443287968639</v>
      </c>
      <c r="AA35" s="34">
        <f t="shared" si="41"/>
        <v>0.78449086347988262</v>
      </c>
      <c r="AB35" s="34">
        <f t="shared" si="41"/>
        <v>0.77691124161051173</v>
      </c>
      <c r="AC35" s="34">
        <f t="shared" si="41"/>
        <v>0.76940485280268067</v>
      </c>
      <c r="AD35" s="34">
        <f t="shared" si="41"/>
        <v>0.76197098949057751</v>
      </c>
      <c r="AE35" s="34">
        <f t="shared" si="41"/>
        <v>0.75460895094477476</v>
      </c>
      <c r="AF35" s="34">
        <f t="shared" si="41"/>
        <v>0.7473180432061779</v>
      </c>
      <c r="AG35" s="34">
        <f t="shared" si="41"/>
        <v>0.74009757902061102</v>
      </c>
      <c r="AH35" s="34">
        <f t="shared" ref="AH35:BM35" si="42">IF(AND(AH16&lt;=($A$5+$A$7),AH16&gt;$A$7),AH34*AH19,0)</f>
        <v>0.732946877774035</v>
      </c>
      <c r="AI35" s="34">
        <f t="shared" si="42"/>
        <v>0.72586526542839214</v>
      </c>
      <c r="AJ35" s="34">
        <f t="shared" si="42"/>
        <v>0.71885207445806942</v>
      </c>
      <c r="AK35" s="34">
        <f t="shared" si="42"/>
        <v>0.71190664378697699</v>
      </c>
      <c r="AL35" s="34">
        <f t="shared" si="42"/>
        <v>0.70502831872623328</v>
      </c>
      <c r="AM35" s="34">
        <f t="shared" si="42"/>
        <v>0.69821645091245321</v>
      </c>
      <c r="AN35" s="34">
        <f t="shared" si="42"/>
        <v>0.69147039824663248</v>
      </c>
      <c r="AO35" s="34">
        <f t="shared" si="42"/>
        <v>0.68478952483362154</v>
      </c>
      <c r="AP35" s="34">
        <f t="shared" si="42"/>
        <v>0.67817320092218558</v>
      </c>
      <c r="AQ35" s="34">
        <f t="shared" si="42"/>
        <v>0.67162080284564263</v>
      </c>
      <c r="AR35" s="34">
        <f t="shared" si="42"/>
        <v>0.66513171296307616</v>
      </c>
      <c r="AS35" s="34">
        <f t="shared" si="42"/>
        <v>0.65870531960111411</v>
      </c>
      <c r="AT35" s="34">
        <f t="shared" si="42"/>
        <v>0.65234101699627245</v>
      </c>
      <c r="AU35" s="34">
        <f t="shared" si="42"/>
        <v>0.64603820523785449</v>
      </c>
      <c r="AV35" s="34">
        <f t="shared" si="42"/>
        <v>0.63979629021140172</v>
      </c>
      <c r="AW35" s="34">
        <f t="shared" si="42"/>
        <v>0.63361468354269257</v>
      </c>
      <c r="AX35" s="34">
        <f t="shared" si="42"/>
        <v>0.62749280254228013</v>
      </c>
      <c r="AY35" s="34">
        <f t="shared" si="42"/>
        <v>0.62143007015056728</v>
      </c>
      <c r="AZ35" s="34">
        <f t="shared" si="42"/>
        <v>0.61542591488341203</v>
      </c>
      <c r="BA35" s="34">
        <f t="shared" si="42"/>
        <v>0.60947977077825821</v>
      </c>
      <c r="BB35" s="34">
        <f t="shared" si="42"/>
        <v>0.60359107734078721</v>
      </c>
      <c r="BC35" s="34">
        <f t="shared" si="42"/>
        <v>0.59775927949208385</v>
      </c>
      <c r="BD35" s="34">
        <f t="shared" si="42"/>
        <v>0.59198382751631495</v>
      </c>
      <c r="BE35" s="34">
        <f t="shared" si="42"/>
        <v>0.58626417700891098</v>
      </c>
      <c r="BF35" s="34">
        <f t="shared" si="42"/>
        <v>0.58059978882524999</v>
      </c>
      <c r="BG35" s="34">
        <f t="shared" si="42"/>
        <v>0.57499012902983704</v>
      </c>
      <c r="BH35" s="34">
        <f t="shared" si="42"/>
        <v>0.56943466884597393</v>
      </c>
      <c r="BI35" s="34">
        <f t="shared" si="42"/>
        <v>0.56393288460591617</v>
      </c>
      <c r="BJ35" s="34">
        <f t="shared" si="42"/>
        <v>0</v>
      </c>
      <c r="BK35" s="34">
        <f t="shared" si="42"/>
        <v>0</v>
      </c>
      <c r="BL35" s="34">
        <f t="shared" si="42"/>
        <v>0</v>
      </c>
      <c r="BM35" s="34">
        <f t="shared" si="42"/>
        <v>0</v>
      </c>
      <c r="BN35" s="34">
        <f t="shared" ref="BN35:CS35" si="43">IF(AND(BN16&lt;=($A$5+$A$7),BN16&gt;$A$7),BN34*BN19,0)</f>
        <v>0</v>
      </c>
      <c r="BO35" s="34">
        <f t="shared" si="43"/>
        <v>0</v>
      </c>
      <c r="BP35" s="34">
        <f t="shared" si="43"/>
        <v>0</v>
      </c>
      <c r="BQ35" s="34">
        <f t="shared" si="43"/>
        <v>0</v>
      </c>
      <c r="BR35" s="34">
        <f t="shared" si="43"/>
        <v>0</v>
      </c>
      <c r="BS35" s="34">
        <f t="shared" si="43"/>
        <v>0</v>
      </c>
      <c r="BT35" s="34">
        <f t="shared" si="43"/>
        <v>0</v>
      </c>
      <c r="BU35" s="34">
        <f t="shared" si="43"/>
        <v>0</v>
      </c>
      <c r="BV35" s="34">
        <f t="shared" si="43"/>
        <v>0</v>
      </c>
      <c r="BW35" s="34">
        <f t="shared" si="43"/>
        <v>0</v>
      </c>
      <c r="BX35" s="34">
        <f t="shared" si="43"/>
        <v>0</v>
      </c>
      <c r="BY35" s="34">
        <f t="shared" si="43"/>
        <v>0</v>
      </c>
      <c r="BZ35" s="34">
        <f t="shared" si="43"/>
        <v>0</v>
      </c>
      <c r="CA35" s="34">
        <f t="shared" si="43"/>
        <v>0</v>
      </c>
      <c r="CB35" s="34">
        <f t="shared" si="43"/>
        <v>0</v>
      </c>
      <c r="CC35" s="34">
        <f t="shared" si="43"/>
        <v>0</v>
      </c>
      <c r="CD35" s="34">
        <f t="shared" si="43"/>
        <v>0</v>
      </c>
      <c r="CE35" s="34">
        <f t="shared" si="43"/>
        <v>0</v>
      </c>
      <c r="CF35" s="34">
        <f t="shared" si="43"/>
        <v>0</v>
      </c>
      <c r="CG35" s="34">
        <f t="shared" si="43"/>
        <v>0</v>
      </c>
      <c r="CH35" s="34">
        <f t="shared" si="43"/>
        <v>0</v>
      </c>
      <c r="CI35" s="34">
        <f t="shared" si="43"/>
        <v>0</v>
      </c>
      <c r="CJ35" s="34">
        <f t="shared" si="43"/>
        <v>0</v>
      </c>
      <c r="CK35" s="34">
        <f t="shared" si="43"/>
        <v>0</v>
      </c>
      <c r="CL35" s="34">
        <f t="shared" si="43"/>
        <v>0</v>
      </c>
      <c r="CM35" s="34">
        <f t="shared" si="43"/>
        <v>0</v>
      </c>
      <c r="CN35" s="34">
        <f t="shared" si="43"/>
        <v>0</v>
      </c>
      <c r="CO35" s="34">
        <f t="shared" si="43"/>
        <v>0</v>
      </c>
      <c r="CP35" s="34">
        <f t="shared" si="43"/>
        <v>0</v>
      </c>
      <c r="CQ35" s="34">
        <f t="shared" si="43"/>
        <v>0</v>
      </c>
      <c r="CR35" s="34">
        <f t="shared" si="43"/>
        <v>0</v>
      </c>
      <c r="CS35" s="34">
        <f t="shared" si="43"/>
        <v>0</v>
      </c>
      <c r="CT35" s="34">
        <f t="shared" ref="CT35:DD35" si="44">IF(AND(CT16&lt;=($A$5+$A$7),CT16&gt;$A$7),CT34*CT19,0)</f>
        <v>0</v>
      </c>
      <c r="CU35" s="34">
        <f t="shared" si="44"/>
        <v>0</v>
      </c>
      <c r="CV35" s="34">
        <f t="shared" si="44"/>
        <v>0</v>
      </c>
      <c r="CW35" s="34">
        <f t="shared" si="44"/>
        <v>0</v>
      </c>
      <c r="CX35" s="34">
        <f t="shared" si="44"/>
        <v>0</v>
      </c>
      <c r="CY35" s="34">
        <f t="shared" si="44"/>
        <v>0</v>
      </c>
      <c r="CZ35" s="34">
        <f t="shared" si="44"/>
        <v>0</v>
      </c>
      <c r="DA35" s="34">
        <f t="shared" si="44"/>
        <v>0</v>
      </c>
      <c r="DB35" s="34">
        <f t="shared" si="44"/>
        <v>0</v>
      </c>
      <c r="DC35" s="34">
        <f t="shared" si="44"/>
        <v>0</v>
      </c>
      <c r="DD35" s="34">
        <f t="shared" si="44"/>
        <v>0</v>
      </c>
    </row>
    <row r="37" spans="1:108" x14ac:dyDescent="0.25">
      <c r="A37" s="34" t="s">
        <v>247</v>
      </c>
      <c r="B37" s="34">
        <v>1</v>
      </c>
      <c r="C37" s="34">
        <f>B37*(1+$H$7/100)</f>
        <v>1.02</v>
      </c>
      <c r="D37" s="34">
        <f t="shared" ref="D37:J37" si="45">C37*(1+$H$7/100)</f>
        <v>1.0404</v>
      </c>
      <c r="E37" s="34">
        <f t="shared" si="45"/>
        <v>1.0612079999999999</v>
      </c>
      <c r="F37" s="34">
        <f t="shared" si="45"/>
        <v>1.08243216</v>
      </c>
      <c r="G37" s="34">
        <f t="shared" si="45"/>
        <v>1.1040808032</v>
      </c>
      <c r="H37" s="34">
        <f t="shared" si="45"/>
        <v>1.1261624192640001</v>
      </c>
      <c r="I37" s="34">
        <f t="shared" si="45"/>
        <v>1.14868566764928</v>
      </c>
      <c r="J37" s="34">
        <f t="shared" si="45"/>
        <v>1.1716593810022657</v>
      </c>
      <c r="K37" s="34">
        <f>J37*(1+$H$8/100)</f>
        <v>1.1950925686223111</v>
      </c>
      <c r="L37" s="34">
        <f t="shared" ref="L37:T37" si="46">K37*(1+$H$8/100)</f>
        <v>1.2189944199947573</v>
      </c>
      <c r="M37" s="34">
        <f t="shared" si="46"/>
        <v>1.2433743083946525</v>
      </c>
      <c r="N37" s="34">
        <f t="shared" si="46"/>
        <v>1.2682417945625455</v>
      </c>
      <c r="O37" s="34">
        <f t="shared" si="46"/>
        <v>1.2936066304537963</v>
      </c>
      <c r="P37" s="34">
        <f t="shared" si="46"/>
        <v>1.3194787630628724</v>
      </c>
      <c r="Q37" s="34">
        <f t="shared" si="46"/>
        <v>1.3458683383241299</v>
      </c>
      <c r="R37" s="34">
        <f t="shared" si="46"/>
        <v>1.3727857050906125</v>
      </c>
      <c r="S37" s="34">
        <f t="shared" si="46"/>
        <v>1.4002414191924248</v>
      </c>
      <c r="T37" s="34">
        <f t="shared" si="46"/>
        <v>1.4282462475762734</v>
      </c>
      <c r="U37" s="34">
        <f>T37*(1+$H$9/100)</f>
        <v>1.4568111725277988</v>
      </c>
      <c r="V37" s="34">
        <f t="shared" ref="V37:CG37" si="47">U37*(1+$H$9/100)</f>
        <v>1.4859473959783549</v>
      </c>
      <c r="W37" s="34">
        <f t="shared" si="47"/>
        <v>1.5156663438979221</v>
      </c>
      <c r="X37" s="34">
        <f t="shared" si="47"/>
        <v>1.5459796707758806</v>
      </c>
      <c r="Y37" s="34">
        <f t="shared" si="47"/>
        <v>1.5768992641913981</v>
      </c>
      <c r="Z37" s="34">
        <f t="shared" si="47"/>
        <v>1.6084372494752261</v>
      </c>
      <c r="AA37" s="34">
        <f t="shared" si="47"/>
        <v>1.6406059944647307</v>
      </c>
      <c r="AB37" s="34">
        <f t="shared" si="47"/>
        <v>1.6734181143540252</v>
      </c>
      <c r="AC37" s="34">
        <f t="shared" si="47"/>
        <v>1.7068864766411058</v>
      </c>
      <c r="AD37" s="34">
        <f t="shared" si="47"/>
        <v>1.7410242061739281</v>
      </c>
      <c r="AE37" s="34">
        <f t="shared" si="47"/>
        <v>1.7758446902974065</v>
      </c>
      <c r="AF37" s="34">
        <f t="shared" si="47"/>
        <v>1.8113615841033548</v>
      </c>
      <c r="AG37" s="34">
        <f t="shared" si="47"/>
        <v>1.8475888157854219</v>
      </c>
      <c r="AH37" s="34">
        <f t="shared" si="47"/>
        <v>1.8845405921011305</v>
      </c>
      <c r="AI37" s="34">
        <f t="shared" si="47"/>
        <v>1.9222314039431532</v>
      </c>
      <c r="AJ37" s="34">
        <f t="shared" si="47"/>
        <v>1.9606760320220162</v>
      </c>
      <c r="AK37" s="34">
        <f t="shared" si="47"/>
        <v>1.9998895526624565</v>
      </c>
      <c r="AL37" s="34">
        <f t="shared" si="47"/>
        <v>2.0398873437157055</v>
      </c>
      <c r="AM37" s="34">
        <f t="shared" si="47"/>
        <v>2.0806850905900198</v>
      </c>
      <c r="AN37" s="34">
        <f t="shared" si="47"/>
        <v>2.1222987924018204</v>
      </c>
      <c r="AO37" s="34">
        <f t="shared" si="47"/>
        <v>2.1647447682498568</v>
      </c>
      <c r="AP37" s="34">
        <f t="shared" si="47"/>
        <v>2.208039663614854</v>
      </c>
      <c r="AQ37" s="34">
        <f t="shared" si="47"/>
        <v>2.252200456887151</v>
      </c>
      <c r="AR37" s="34">
        <f t="shared" si="47"/>
        <v>2.2972444660248938</v>
      </c>
      <c r="AS37" s="34">
        <f t="shared" si="47"/>
        <v>2.343189355345392</v>
      </c>
      <c r="AT37" s="34">
        <f t="shared" si="47"/>
        <v>2.3900531424522997</v>
      </c>
      <c r="AU37" s="34">
        <f t="shared" si="47"/>
        <v>2.4378542053013459</v>
      </c>
      <c r="AV37" s="34">
        <f t="shared" si="47"/>
        <v>2.4866112894073726</v>
      </c>
      <c r="AW37" s="34">
        <f t="shared" si="47"/>
        <v>2.53634351519552</v>
      </c>
      <c r="AX37" s="34">
        <f t="shared" si="47"/>
        <v>2.5870703854994304</v>
      </c>
      <c r="AY37" s="34">
        <f t="shared" si="47"/>
        <v>2.6388117932094191</v>
      </c>
      <c r="AZ37" s="34">
        <f t="shared" si="47"/>
        <v>2.6915880290736074</v>
      </c>
      <c r="BA37" s="34">
        <f t="shared" si="47"/>
        <v>2.7454197896550796</v>
      </c>
      <c r="BB37" s="34">
        <f t="shared" si="47"/>
        <v>2.8003281854481812</v>
      </c>
      <c r="BC37" s="34">
        <f t="shared" si="47"/>
        <v>2.8563347491571447</v>
      </c>
      <c r="BD37" s="34">
        <f t="shared" si="47"/>
        <v>2.9134614441402875</v>
      </c>
      <c r="BE37" s="34">
        <f t="shared" si="47"/>
        <v>2.9717306730230932</v>
      </c>
      <c r="BF37" s="34">
        <f t="shared" si="47"/>
        <v>3.0311652864835552</v>
      </c>
      <c r="BG37" s="34">
        <f t="shared" si="47"/>
        <v>3.0917885922132262</v>
      </c>
      <c r="BH37" s="34">
        <f t="shared" si="47"/>
        <v>3.1536243640574906</v>
      </c>
      <c r="BI37" s="34">
        <f t="shared" si="47"/>
        <v>3.2166968513386403</v>
      </c>
      <c r="BJ37" s="34">
        <f t="shared" si="47"/>
        <v>3.2810307883654133</v>
      </c>
      <c r="BK37" s="34">
        <f t="shared" si="47"/>
        <v>3.3466514041327216</v>
      </c>
      <c r="BL37" s="34">
        <f t="shared" si="47"/>
        <v>3.4135844322153761</v>
      </c>
      <c r="BM37" s="34">
        <f t="shared" si="47"/>
        <v>3.4818561208596837</v>
      </c>
      <c r="BN37" s="34">
        <f t="shared" si="47"/>
        <v>3.5514932432768775</v>
      </c>
      <c r="BO37" s="34">
        <f t="shared" si="47"/>
        <v>3.6225231081424152</v>
      </c>
      <c r="BP37" s="34">
        <f t="shared" si="47"/>
        <v>3.6949735703052635</v>
      </c>
      <c r="BQ37" s="34">
        <f t="shared" si="47"/>
        <v>3.7688730417113687</v>
      </c>
      <c r="BR37" s="34">
        <f t="shared" si="47"/>
        <v>3.844250502545596</v>
      </c>
      <c r="BS37" s="34">
        <f t="shared" si="47"/>
        <v>3.9211355125965079</v>
      </c>
      <c r="BT37" s="34">
        <f t="shared" si="47"/>
        <v>3.9995582228484383</v>
      </c>
      <c r="BU37" s="34">
        <f t="shared" si="47"/>
        <v>4.0795493873054074</v>
      </c>
      <c r="BV37" s="34">
        <f t="shared" si="47"/>
        <v>4.1611403750515157</v>
      </c>
      <c r="BW37" s="34">
        <f t="shared" si="47"/>
        <v>4.2443631825525463</v>
      </c>
      <c r="BX37" s="34">
        <f t="shared" si="47"/>
        <v>4.3292504462035977</v>
      </c>
      <c r="BY37" s="34">
        <f t="shared" si="47"/>
        <v>4.4158354551276693</v>
      </c>
      <c r="BZ37" s="34">
        <f t="shared" si="47"/>
        <v>4.5041521642302227</v>
      </c>
      <c r="CA37" s="34">
        <f t="shared" si="47"/>
        <v>4.5942352075148269</v>
      </c>
      <c r="CB37" s="34">
        <f t="shared" si="47"/>
        <v>4.6861199116651235</v>
      </c>
      <c r="CC37" s="34">
        <f t="shared" si="47"/>
        <v>4.7798423098984264</v>
      </c>
      <c r="CD37" s="34">
        <f t="shared" si="47"/>
        <v>4.8754391560963954</v>
      </c>
      <c r="CE37" s="34">
        <f t="shared" si="47"/>
        <v>4.9729479392183231</v>
      </c>
      <c r="CF37" s="34">
        <f t="shared" si="47"/>
        <v>5.07240689800269</v>
      </c>
      <c r="CG37" s="34">
        <f t="shared" si="47"/>
        <v>5.1738550359627435</v>
      </c>
      <c r="CH37" s="34">
        <f t="shared" ref="CH37:DD37" si="48">CG37*(1+$H$9/100)</f>
        <v>5.2773321366819985</v>
      </c>
      <c r="CI37" s="34">
        <f t="shared" si="48"/>
        <v>5.3828787794156385</v>
      </c>
      <c r="CJ37" s="34">
        <f t="shared" si="48"/>
        <v>5.4905363550039512</v>
      </c>
      <c r="CK37" s="34">
        <f t="shared" si="48"/>
        <v>5.6003470821040304</v>
      </c>
      <c r="CL37" s="34">
        <f t="shared" si="48"/>
        <v>5.7123540237461112</v>
      </c>
      <c r="CM37" s="34">
        <f t="shared" si="48"/>
        <v>5.8266011042210337</v>
      </c>
      <c r="CN37" s="34">
        <f t="shared" si="48"/>
        <v>5.9431331263054545</v>
      </c>
      <c r="CO37" s="34">
        <f t="shared" si="48"/>
        <v>6.0619957888315641</v>
      </c>
      <c r="CP37" s="34">
        <f t="shared" si="48"/>
        <v>6.1832357046081956</v>
      </c>
      <c r="CQ37" s="34">
        <f t="shared" si="48"/>
        <v>6.3069004187003594</v>
      </c>
      <c r="CR37" s="34">
        <f t="shared" si="48"/>
        <v>6.4330384270743668</v>
      </c>
      <c r="CS37" s="34">
        <f t="shared" si="48"/>
        <v>6.5616991956158541</v>
      </c>
      <c r="CT37" s="34">
        <f t="shared" si="48"/>
        <v>6.692933179528171</v>
      </c>
      <c r="CU37" s="34">
        <f t="shared" si="48"/>
        <v>6.8267918431187349</v>
      </c>
      <c r="CV37" s="34">
        <f t="shared" si="48"/>
        <v>6.9633276799811101</v>
      </c>
      <c r="CW37" s="34">
        <f t="shared" si="48"/>
        <v>7.1025942335807324</v>
      </c>
      <c r="CX37" s="34">
        <f t="shared" si="48"/>
        <v>7.2446461182523469</v>
      </c>
      <c r="CY37" s="34">
        <f t="shared" si="48"/>
        <v>7.389539040617394</v>
      </c>
      <c r="CZ37" s="34">
        <f t="shared" si="48"/>
        <v>7.5373298214297417</v>
      </c>
      <c r="DA37" s="34">
        <f t="shared" si="48"/>
        <v>7.688076417858337</v>
      </c>
      <c r="DB37" s="34">
        <f t="shared" si="48"/>
        <v>7.8418379462155041</v>
      </c>
      <c r="DC37" s="34">
        <f t="shared" si="48"/>
        <v>7.9986747051398144</v>
      </c>
      <c r="DD37" s="34">
        <f t="shared" si="48"/>
        <v>8.1586481992426112</v>
      </c>
    </row>
    <row r="38" spans="1:108" x14ac:dyDescent="0.25">
      <c r="A38" s="20" t="s">
        <v>238</v>
      </c>
      <c r="B38" s="34">
        <f t="shared" ref="B38:AG38" si="49">IF(AND(B16&lt;=($A$5+$A$7),B16&gt;$A$7),B37*B19,0)</f>
        <v>1</v>
      </c>
      <c r="C38" s="34">
        <f t="shared" si="49"/>
        <v>0.98550724637681164</v>
      </c>
      <c r="D38" s="34">
        <f t="shared" si="49"/>
        <v>0.97122453266120568</v>
      </c>
      <c r="E38" s="34">
        <f t="shared" si="49"/>
        <v>0.95714881479655067</v>
      </c>
      <c r="F38" s="34">
        <f t="shared" si="49"/>
        <v>0.94327709284297756</v>
      </c>
      <c r="G38" s="34">
        <f t="shared" si="49"/>
        <v>0.92960641033800706</v>
      </c>
      <c r="H38" s="34">
        <f t="shared" si="49"/>
        <v>0.91613385366644184</v>
      </c>
      <c r="I38" s="34">
        <f t="shared" si="49"/>
        <v>0.90285655143939203</v>
      </c>
      <c r="J38" s="34">
        <f t="shared" si="49"/>
        <v>0.8897716738822995</v>
      </c>
      <c r="K38" s="34">
        <f t="shared" si="49"/>
        <v>0.87687643223183143</v>
      </c>
      <c r="L38" s="34">
        <f t="shared" si="49"/>
        <v>0.86416807814151519</v>
      </c>
      <c r="M38" s="34">
        <f t="shared" si="49"/>
        <v>0.85164390309598614</v>
      </c>
      <c r="N38" s="34">
        <f t="shared" si="49"/>
        <v>0.83930123783372534</v>
      </c>
      <c r="O38" s="34">
        <f t="shared" si="49"/>
        <v>0.82713745177816422</v>
      </c>
      <c r="P38" s="34">
        <f t="shared" si="49"/>
        <v>0.81514995247703159</v>
      </c>
      <c r="Q38" s="34">
        <f t="shared" si="49"/>
        <v>0.8033361850498284</v>
      </c>
      <c r="R38" s="34">
        <f t="shared" si="49"/>
        <v>0.79169363164330919</v>
      </c>
      <c r="S38" s="34">
        <f t="shared" si="49"/>
        <v>0.78021981089485537</v>
      </c>
      <c r="T38" s="34">
        <f t="shared" si="49"/>
        <v>0.76891227740362589</v>
      </c>
      <c r="U38" s="34">
        <f t="shared" si="49"/>
        <v>0.75776862120937039</v>
      </c>
      <c r="V38" s="34">
        <f t="shared" si="49"/>
        <v>0.74678646727879994</v>
      </c>
      <c r="W38" s="34">
        <f t="shared" si="49"/>
        <v>0.73596347499939718</v>
      </c>
      <c r="X38" s="34">
        <f t="shared" si="49"/>
        <v>0.72529733768056548</v>
      </c>
      <c r="Y38" s="34">
        <f t="shared" si="49"/>
        <v>0.71478578206200649</v>
      </c>
      <c r="Z38" s="34">
        <f t="shared" si="49"/>
        <v>0.70442656782922386</v>
      </c>
      <c r="AA38" s="34">
        <f t="shared" si="49"/>
        <v>0.6942174871360467</v>
      </c>
      <c r="AB38" s="34">
        <f t="shared" si="49"/>
        <v>0.68415636413407499</v>
      </c>
      <c r="AC38" s="34">
        <f t="shared" si="49"/>
        <v>0.67424105450894367</v>
      </c>
      <c r="AD38" s="34">
        <f t="shared" si="49"/>
        <v>0.66446944502330685</v>
      </c>
      <c r="AE38" s="34">
        <f t="shared" si="49"/>
        <v>0.65483945306644742</v>
      </c>
      <c r="AF38" s="34">
        <f t="shared" si="49"/>
        <v>0.64534902621041201</v>
      </c>
      <c r="AG38" s="34">
        <f t="shared" si="49"/>
        <v>0.63599614177258001</v>
      </c>
      <c r="AH38" s="34">
        <f t="shared" ref="AH38:BM38" si="50">IF(AND(AH16&lt;=($A$5+$A$7),AH16&gt;$A$7),AH37*AH19,0)</f>
        <v>0.62677880638457173</v>
      </c>
      <c r="AI38" s="34">
        <f t="shared" si="50"/>
        <v>0.61769505556740401</v>
      </c>
      <c r="AJ38" s="34">
        <f t="shared" si="50"/>
        <v>0.60874295331280404</v>
      </c>
      <c r="AK38" s="34">
        <f t="shared" si="50"/>
        <v>0.59992059167058942</v>
      </c>
      <c r="AL38" s="34">
        <f t="shared" si="50"/>
        <v>0.59122609034203022</v>
      </c>
      <c r="AM38" s="34">
        <f t="shared" si="50"/>
        <v>0.58265759627910241</v>
      </c>
      <c r="AN38" s="34">
        <f t="shared" si="50"/>
        <v>0.57421328328955024</v>
      </c>
      <c r="AO38" s="34">
        <f t="shared" si="50"/>
        <v>0.56589135164767279</v>
      </c>
      <c r="AP38" s="34">
        <f t="shared" si="50"/>
        <v>0.55769002771075005</v>
      </c>
      <c r="AQ38" s="34">
        <f t="shared" si="50"/>
        <v>0.54960756354102902</v>
      </c>
      <c r="AR38" s="34">
        <f t="shared" si="50"/>
        <v>0.5416422365331881</v>
      </c>
      <c r="AS38" s="34">
        <f t="shared" si="50"/>
        <v>0.53379234904719997</v>
      </c>
      <c r="AT38" s="34">
        <f t="shared" si="50"/>
        <v>0.52605622804651597</v>
      </c>
      <c r="AU38" s="34">
        <f t="shared" si="50"/>
        <v>0.51843222474149409</v>
      </c>
      <c r="AV38" s="34">
        <f t="shared" si="50"/>
        <v>0.51091871423799418</v>
      </c>
      <c r="AW38" s="34">
        <f t="shared" si="50"/>
        <v>0.50351409519106671</v>
      </c>
      <c r="AX38" s="34">
        <f t="shared" si="50"/>
        <v>0.49621678946365999</v>
      </c>
      <c r="AY38" s="34">
        <f t="shared" si="50"/>
        <v>0.48902524179027373</v>
      </c>
      <c r="AZ38" s="34">
        <f t="shared" si="50"/>
        <v>0.48193791944548714</v>
      </c>
      <c r="BA38" s="34">
        <f t="shared" si="50"/>
        <v>0.47495331191729168</v>
      </c>
      <c r="BB38" s="34">
        <f t="shared" si="50"/>
        <v>0.46806993058515711</v>
      </c>
      <c r="BC38" s="34">
        <f t="shared" si="50"/>
        <v>0.46128630840276352</v>
      </c>
      <c r="BD38" s="34">
        <f t="shared" si="50"/>
        <v>0.45460099958533218</v>
      </c>
      <c r="BE38" s="34">
        <f t="shared" si="50"/>
        <v>0.4480125793014868</v>
      </c>
      <c r="BF38" s="34">
        <f t="shared" si="50"/>
        <v>0.44151964336958127</v>
      </c>
      <c r="BG38" s="34">
        <f t="shared" si="50"/>
        <v>0.43512080795842795</v>
      </c>
      <c r="BH38" s="34">
        <f t="shared" si="50"/>
        <v>0.42881470929236382</v>
      </c>
      <c r="BI38" s="34">
        <f t="shared" si="50"/>
        <v>0.42260000336059045</v>
      </c>
      <c r="BJ38" s="34">
        <f t="shared" si="50"/>
        <v>0</v>
      </c>
      <c r="BK38" s="34">
        <f t="shared" si="50"/>
        <v>0</v>
      </c>
      <c r="BL38" s="34">
        <f t="shared" si="50"/>
        <v>0</v>
      </c>
      <c r="BM38" s="34">
        <f t="shared" si="50"/>
        <v>0</v>
      </c>
      <c r="BN38" s="34">
        <f t="shared" ref="BN38:CS38" si="51">IF(AND(BN16&lt;=($A$5+$A$7),BN16&gt;$A$7),BN37*BN19,0)</f>
        <v>0</v>
      </c>
      <c r="BO38" s="34">
        <f t="shared" si="51"/>
        <v>0</v>
      </c>
      <c r="BP38" s="34">
        <f t="shared" si="51"/>
        <v>0</v>
      </c>
      <c r="BQ38" s="34">
        <f t="shared" si="51"/>
        <v>0</v>
      </c>
      <c r="BR38" s="34">
        <f t="shared" si="51"/>
        <v>0</v>
      </c>
      <c r="BS38" s="34">
        <f t="shared" si="51"/>
        <v>0</v>
      </c>
      <c r="BT38" s="34">
        <f t="shared" si="51"/>
        <v>0</v>
      </c>
      <c r="BU38" s="34">
        <f t="shared" si="51"/>
        <v>0</v>
      </c>
      <c r="BV38" s="34">
        <f t="shared" si="51"/>
        <v>0</v>
      </c>
      <c r="BW38" s="34">
        <f t="shared" si="51"/>
        <v>0</v>
      </c>
      <c r="BX38" s="34">
        <f t="shared" si="51"/>
        <v>0</v>
      </c>
      <c r="BY38" s="34">
        <f t="shared" si="51"/>
        <v>0</v>
      </c>
      <c r="BZ38" s="34">
        <f t="shared" si="51"/>
        <v>0</v>
      </c>
      <c r="CA38" s="34">
        <f t="shared" si="51"/>
        <v>0</v>
      </c>
      <c r="CB38" s="34">
        <f t="shared" si="51"/>
        <v>0</v>
      </c>
      <c r="CC38" s="34">
        <f t="shared" si="51"/>
        <v>0</v>
      </c>
      <c r="CD38" s="34">
        <f t="shared" si="51"/>
        <v>0</v>
      </c>
      <c r="CE38" s="34">
        <f t="shared" si="51"/>
        <v>0</v>
      </c>
      <c r="CF38" s="34">
        <f t="shared" si="51"/>
        <v>0</v>
      </c>
      <c r="CG38" s="34">
        <f t="shared" si="51"/>
        <v>0</v>
      </c>
      <c r="CH38" s="34">
        <f t="shared" si="51"/>
        <v>0</v>
      </c>
      <c r="CI38" s="34">
        <f t="shared" si="51"/>
        <v>0</v>
      </c>
      <c r="CJ38" s="34">
        <f t="shared" si="51"/>
        <v>0</v>
      </c>
      <c r="CK38" s="34">
        <f t="shared" si="51"/>
        <v>0</v>
      </c>
      <c r="CL38" s="34">
        <f t="shared" si="51"/>
        <v>0</v>
      </c>
      <c r="CM38" s="34">
        <f t="shared" si="51"/>
        <v>0</v>
      </c>
      <c r="CN38" s="34">
        <f t="shared" si="51"/>
        <v>0</v>
      </c>
      <c r="CO38" s="34">
        <f t="shared" si="51"/>
        <v>0</v>
      </c>
      <c r="CP38" s="34">
        <f t="shared" si="51"/>
        <v>0</v>
      </c>
      <c r="CQ38" s="34">
        <f t="shared" si="51"/>
        <v>0</v>
      </c>
      <c r="CR38" s="34">
        <f t="shared" si="51"/>
        <v>0</v>
      </c>
      <c r="CS38" s="34">
        <f t="shared" si="51"/>
        <v>0</v>
      </c>
      <c r="CT38" s="34">
        <f t="shared" ref="CT38:DD38" si="52">IF(AND(CT16&lt;=($A$5+$A$7),CT16&gt;$A$7),CT37*CT19,0)</f>
        <v>0</v>
      </c>
      <c r="CU38" s="34">
        <f t="shared" si="52"/>
        <v>0</v>
      </c>
      <c r="CV38" s="34">
        <f t="shared" si="52"/>
        <v>0</v>
      </c>
      <c r="CW38" s="34">
        <f t="shared" si="52"/>
        <v>0</v>
      </c>
      <c r="CX38" s="34">
        <f t="shared" si="52"/>
        <v>0</v>
      </c>
      <c r="CY38" s="34">
        <f t="shared" si="52"/>
        <v>0</v>
      </c>
      <c r="CZ38" s="34">
        <f t="shared" si="52"/>
        <v>0</v>
      </c>
      <c r="DA38" s="34">
        <f t="shared" si="52"/>
        <v>0</v>
      </c>
      <c r="DB38" s="34">
        <f t="shared" si="52"/>
        <v>0</v>
      </c>
      <c r="DC38" s="34">
        <f t="shared" si="52"/>
        <v>0</v>
      </c>
      <c r="DD38" s="34">
        <f t="shared" si="52"/>
        <v>0</v>
      </c>
    </row>
    <row r="40" spans="1:108" s="34" customFormat="1" x14ac:dyDescent="0.25">
      <c r="A40" s="670" t="s">
        <v>248</v>
      </c>
      <c r="B40" s="34">
        <v>1</v>
      </c>
      <c r="C40" s="34">
        <f>B37*(1+($C$12+$H$7)/100)</f>
        <v>1.0349999999999999</v>
      </c>
      <c r="D40" s="34">
        <f t="shared" ref="D40:J40" si="53">C37*(1+($C$12+$H$7)/100)</f>
        <v>1.0556999999999999</v>
      </c>
      <c r="E40" s="34">
        <f t="shared" si="53"/>
        <v>1.0768139999999999</v>
      </c>
      <c r="F40" s="34">
        <f t="shared" si="53"/>
        <v>1.0983502799999998</v>
      </c>
      <c r="G40" s="34">
        <f t="shared" si="53"/>
        <v>1.1203172855999999</v>
      </c>
      <c r="H40" s="34">
        <f t="shared" si="53"/>
        <v>1.1427236313119999</v>
      </c>
      <c r="I40" s="34">
        <f t="shared" si="53"/>
        <v>1.16557810393824</v>
      </c>
      <c r="J40" s="34">
        <f t="shared" si="53"/>
        <v>1.1888896660170047</v>
      </c>
      <c r="K40" s="34">
        <f>J37*(1+($C$12+$H$8)/100)</f>
        <v>1.212667459337345</v>
      </c>
      <c r="L40" s="34">
        <f t="shared" ref="L40:T40" si="54">K37*(1+($C$12+$H$8)/100)</f>
        <v>1.2369208085240919</v>
      </c>
      <c r="M40" s="34">
        <f t="shared" si="54"/>
        <v>1.2616592246945737</v>
      </c>
      <c r="N40" s="34">
        <f t="shared" si="54"/>
        <v>1.2868924091884653</v>
      </c>
      <c r="O40" s="34">
        <f t="shared" si="54"/>
        <v>1.3126302573722344</v>
      </c>
      <c r="P40" s="34">
        <f t="shared" si="54"/>
        <v>1.3388828625196791</v>
      </c>
      <c r="Q40" s="34">
        <f t="shared" si="54"/>
        <v>1.3656605197700729</v>
      </c>
      <c r="R40" s="34">
        <f t="shared" si="54"/>
        <v>1.3929737301654743</v>
      </c>
      <c r="S40" s="34">
        <f t="shared" si="54"/>
        <v>1.4208332047687837</v>
      </c>
      <c r="T40" s="34">
        <f t="shared" si="54"/>
        <v>1.4492498688641595</v>
      </c>
      <c r="U40" s="34">
        <f>T37*(1+($C$12+$H$9)/100)</f>
        <v>1.4782348662414428</v>
      </c>
      <c r="V40" s="34">
        <f t="shared" ref="V40:CG40" si="55">U37*(1+($C$12+$H$9)/100)</f>
        <v>1.5077995635662715</v>
      </c>
      <c r="W40" s="34">
        <f t="shared" si="55"/>
        <v>1.5379555548375972</v>
      </c>
      <c r="X40" s="34">
        <f t="shared" si="55"/>
        <v>1.5687146659343492</v>
      </c>
      <c r="Y40" s="34">
        <f t="shared" si="55"/>
        <v>1.6000889592530363</v>
      </c>
      <c r="Z40" s="34">
        <f t="shared" si="55"/>
        <v>1.6320907384380969</v>
      </c>
      <c r="AA40" s="34">
        <f t="shared" si="55"/>
        <v>1.6647325532068589</v>
      </c>
      <c r="AB40" s="34">
        <f t="shared" si="55"/>
        <v>1.6980272042709961</v>
      </c>
      <c r="AC40" s="34">
        <f t="shared" si="55"/>
        <v>1.7319877483564159</v>
      </c>
      <c r="AD40" s="34">
        <f t="shared" si="55"/>
        <v>1.7666275033235443</v>
      </c>
      <c r="AE40" s="34">
        <f t="shared" si="55"/>
        <v>1.8019600533900153</v>
      </c>
      <c r="AF40" s="34">
        <f t="shared" si="55"/>
        <v>1.8379992544578156</v>
      </c>
      <c r="AG40" s="34">
        <f t="shared" si="55"/>
        <v>1.8747592395469721</v>
      </c>
      <c r="AH40" s="34">
        <f t="shared" si="55"/>
        <v>1.9122544243379116</v>
      </c>
      <c r="AI40" s="34">
        <f t="shared" si="55"/>
        <v>1.9504995128246698</v>
      </c>
      <c r="AJ40" s="34">
        <f t="shared" si="55"/>
        <v>1.9895095030811634</v>
      </c>
      <c r="AK40" s="34">
        <f t="shared" si="55"/>
        <v>2.0292996931427867</v>
      </c>
      <c r="AL40" s="34">
        <f t="shared" si="55"/>
        <v>2.0698856870056423</v>
      </c>
      <c r="AM40" s="34">
        <f t="shared" si="55"/>
        <v>2.111283400745755</v>
      </c>
      <c r="AN40" s="34">
        <f t="shared" si="55"/>
        <v>2.1535090687606702</v>
      </c>
      <c r="AO40" s="34">
        <f t="shared" si="55"/>
        <v>2.1965792501358838</v>
      </c>
      <c r="AP40" s="34">
        <f t="shared" si="55"/>
        <v>2.2405108351386018</v>
      </c>
      <c r="AQ40" s="34">
        <f t="shared" si="55"/>
        <v>2.2853210518413736</v>
      </c>
      <c r="AR40" s="34">
        <f t="shared" si="55"/>
        <v>2.3310274728782012</v>
      </c>
      <c r="AS40" s="34">
        <f t="shared" si="55"/>
        <v>2.377648022335765</v>
      </c>
      <c r="AT40" s="34">
        <f t="shared" si="55"/>
        <v>2.4252009827824805</v>
      </c>
      <c r="AU40" s="34">
        <f t="shared" si="55"/>
        <v>2.47370500243813</v>
      </c>
      <c r="AV40" s="34">
        <f t="shared" si="55"/>
        <v>2.5231791024868926</v>
      </c>
      <c r="AW40" s="34">
        <f t="shared" si="55"/>
        <v>2.5736426845366305</v>
      </c>
      <c r="AX40" s="34">
        <f t="shared" si="55"/>
        <v>2.6251155382273632</v>
      </c>
      <c r="AY40" s="34">
        <f t="shared" si="55"/>
        <v>2.6776178489919102</v>
      </c>
      <c r="AZ40" s="34">
        <f t="shared" si="55"/>
        <v>2.7311702059717486</v>
      </c>
      <c r="BA40" s="34">
        <f t="shared" si="55"/>
        <v>2.7857936100911833</v>
      </c>
      <c r="BB40" s="34">
        <f t="shared" si="55"/>
        <v>2.8415094822930071</v>
      </c>
      <c r="BC40" s="34">
        <f t="shared" si="55"/>
        <v>2.8983396719388672</v>
      </c>
      <c r="BD40" s="34">
        <f t="shared" si="55"/>
        <v>2.9563064653776445</v>
      </c>
      <c r="BE40" s="34">
        <f t="shared" si="55"/>
        <v>3.0154325946851972</v>
      </c>
      <c r="BF40" s="34">
        <f t="shared" si="55"/>
        <v>3.0757412465789011</v>
      </c>
      <c r="BG40" s="34">
        <f t="shared" si="55"/>
        <v>3.1372560715104796</v>
      </c>
      <c r="BH40" s="34">
        <f t="shared" si="55"/>
        <v>3.2000011929406891</v>
      </c>
      <c r="BI40" s="34">
        <f t="shared" si="55"/>
        <v>3.2640012167995023</v>
      </c>
      <c r="BJ40" s="34">
        <f t="shared" si="55"/>
        <v>3.3292812411354924</v>
      </c>
      <c r="BK40" s="34">
        <f t="shared" si="55"/>
        <v>3.3958668659582023</v>
      </c>
      <c r="BL40" s="34">
        <f t="shared" si="55"/>
        <v>3.4637842032773665</v>
      </c>
      <c r="BM40" s="34">
        <f t="shared" si="55"/>
        <v>3.533059887342914</v>
      </c>
      <c r="BN40" s="34">
        <f t="shared" si="55"/>
        <v>3.6037210850897723</v>
      </c>
      <c r="BO40" s="34">
        <f t="shared" si="55"/>
        <v>3.6757955067915682</v>
      </c>
      <c r="BP40" s="34">
        <f t="shared" si="55"/>
        <v>3.7493114169273993</v>
      </c>
      <c r="BQ40" s="34">
        <f t="shared" si="55"/>
        <v>3.8242976452659474</v>
      </c>
      <c r="BR40" s="34">
        <f t="shared" si="55"/>
        <v>3.9007835981712664</v>
      </c>
      <c r="BS40" s="34">
        <f t="shared" si="55"/>
        <v>3.9787992701346915</v>
      </c>
      <c r="BT40" s="34">
        <f t="shared" si="55"/>
        <v>4.0583752555373858</v>
      </c>
      <c r="BU40" s="34">
        <f t="shared" si="55"/>
        <v>4.1395427606481334</v>
      </c>
      <c r="BV40" s="34">
        <f t="shared" si="55"/>
        <v>4.2223336158610962</v>
      </c>
      <c r="BW40" s="34">
        <f t="shared" si="55"/>
        <v>4.3067802881783184</v>
      </c>
      <c r="BX40" s="34">
        <f t="shared" si="55"/>
        <v>4.3929158939418853</v>
      </c>
      <c r="BY40" s="34">
        <f t="shared" si="55"/>
        <v>4.480774211820723</v>
      </c>
      <c r="BZ40" s="34">
        <f t="shared" si="55"/>
        <v>4.5703896960571377</v>
      </c>
      <c r="CA40" s="34">
        <f t="shared" si="55"/>
        <v>4.6617974899782801</v>
      </c>
      <c r="CB40" s="34">
        <f t="shared" si="55"/>
        <v>4.7550334397778453</v>
      </c>
      <c r="CC40" s="34">
        <f t="shared" si="55"/>
        <v>4.8501341085734024</v>
      </c>
      <c r="CD40" s="34">
        <f t="shared" si="55"/>
        <v>4.9471367907448709</v>
      </c>
      <c r="CE40" s="34">
        <f t="shared" si="55"/>
        <v>5.0460795265597689</v>
      </c>
      <c r="CF40" s="34">
        <f t="shared" si="55"/>
        <v>5.147001117090964</v>
      </c>
      <c r="CG40" s="34">
        <f t="shared" si="55"/>
        <v>5.2499411394327833</v>
      </c>
      <c r="CH40" s="34">
        <f t="shared" ref="CH40:DD40" si="56">CG37*(1+($C$12+$H$9)/100)</f>
        <v>5.3549399622214393</v>
      </c>
      <c r="CI40" s="34">
        <f t="shared" si="56"/>
        <v>5.4620387614658679</v>
      </c>
      <c r="CJ40" s="34">
        <f t="shared" si="56"/>
        <v>5.5712795366951857</v>
      </c>
      <c r="CK40" s="34">
        <f t="shared" si="56"/>
        <v>5.682705127429089</v>
      </c>
      <c r="CL40" s="34">
        <f t="shared" si="56"/>
        <v>5.7963592299776714</v>
      </c>
      <c r="CM40" s="34">
        <f t="shared" si="56"/>
        <v>5.9122864145772249</v>
      </c>
      <c r="CN40" s="34">
        <f t="shared" si="56"/>
        <v>6.0305321428687693</v>
      </c>
      <c r="CO40" s="34">
        <f t="shared" si="56"/>
        <v>6.1511427857261447</v>
      </c>
      <c r="CP40" s="34">
        <f t="shared" si="56"/>
        <v>6.2741656414406686</v>
      </c>
      <c r="CQ40" s="34">
        <f t="shared" si="56"/>
        <v>6.3996489542694821</v>
      </c>
      <c r="CR40" s="34">
        <f t="shared" si="56"/>
        <v>6.5276419333548716</v>
      </c>
      <c r="CS40" s="34">
        <f t="shared" si="56"/>
        <v>6.658194772021969</v>
      </c>
      <c r="CT40" s="34">
        <f t="shared" si="56"/>
        <v>6.7913586674624087</v>
      </c>
      <c r="CU40" s="34">
        <f t="shared" si="56"/>
        <v>6.9271858408116564</v>
      </c>
      <c r="CV40" s="34">
        <f t="shared" si="56"/>
        <v>7.0657295576278898</v>
      </c>
      <c r="CW40" s="34">
        <f t="shared" si="56"/>
        <v>7.2070441487804482</v>
      </c>
      <c r="CX40" s="34">
        <f t="shared" si="56"/>
        <v>7.3511850317560574</v>
      </c>
      <c r="CY40" s="34">
        <f t="shared" si="56"/>
        <v>7.4982087323911788</v>
      </c>
      <c r="CZ40" s="34">
        <f t="shared" si="56"/>
        <v>7.6481729070390019</v>
      </c>
      <c r="DA40" s="34">
        <f t="shared" si="56"/>
        <v>7.801136365179782</v>
      </c>
      <c r="DB40" s="34">
        <f t="shared" si="56"/>
        <v>7.9571590924833782</v>
      </c>
      <c r="DC40" s="34">
        <f t="shared" si="56"/>
        <v>8.1163022743330462</v>
      </c>
      <c r="DD40" s="34">
        <f t="shared" si="56"/>
        <v>8.2786283198197079</v>
      </c>
    </row>
    <row r="41" spans="1:108" x14ac:dyDescent="0.25">
      <c r="A41" s="671" t="s">
        <v>246</v>
      </c>
      <c r="B41" s="34">
        <f t="shared" ref="B41:AG41" si="57">IF(AND(B16&lt;=($A$5+$A$7),B16&gt;$A$7),B40*B19,0)</f>
        <v>1</v>
      </c>
      <c r="C41" s="34">
        <f t="shared" si="57"/>
        <v>1</v>
      </c>
      <c r="D41" s="34">
        <f t="shared" si="57"/>
        <v>0.98550724637681153</v>
      </c>
      <c r="E41" s="34">
        <f t="shared" si="57"/>
        <v>0.97122453266120579</v>
      </c>
      <c r="F41" s="34">
        <f t="shared" si="57"/>
        <v>0.95714881479655056</v>
      </c>
      <c r="G41" s="34">
        <f t="shared" si="57"/>
        <v>0.94327709284297756</v>
      </c>
      <c r="H41" s="34">
        <f t="shared" si="57"/>
        <v>0.92960641033800706</v>
      </c>
      <c r="I41" s="34">
        <f t="shared" si="57"/>
        <v>0.91613385366644196</v>
      </c>
      <c r="J41" s="34">
        <f t="shared" si="57"/>
        <v>0.90285655143939192</v>
      </c>
      <c r="K41" s="34">
        <f t="shared" si="57"/>
        <v>0.8897716738822995</v>
      </c>
      <c r="L41" s="34">
        <f t="shared" si="57"/>
        <v>0.87687643223183154</v>
      </c>
      <c r="M41" s="34">
        <f t="shared" si="57"/>
        <v>0.86416807814151519</v>
      </c>
      <c r="N41" s="34">
        <f t="shared" si="57"/>
        <v>0.85164390309598603</v>
      </c>
      <c r="O41" s="34">
        <f t="shared" si="57"/>
        <v>0.83930123783372534</v>
      </c>
      <c r="P41" s="34">
        <f t="shared" si="57"/>
        <v>0.82713745177816433</v>
      </c>
      <c r="Q41" s="34">
        <f t="shared" si="57"/>
        <v>0.81514995247703159</v>
      </c>
      <c r="R41" s="34">
        <f t="shared" si="57"/>
        <v>0.8033361850498284</v>
      </c>
      <c r="S41" s="34">
        <f t="shared" si="57"/>
        <v>0.79169363164330897</v>
      </c>
      <c r="T41" s="34">
        <f t="shared" si="57"/>
        <v>0.78021981089485548</v>
      </c>
      <c r="U41" s="34">
        <f t="shared" si="57"/>
        <v>0.76891227740362578</v>
      </c>
      <c r="V41" s="34">
        <f t="shared" si="57"/>
        <v>0.75776862120937039</v>
      </c>
      <c r="W41" s="34">
        <f t="shared" si="57"/>
        <v>0.74678646727879994</v>
      </c>
      <c r="X41" s="34">
        <f t="shared" si="57"/>
        <v>0.73596347499939718</v>
      </c>
      <c r="Y41" s="34">
        <f t="shared" si="57"/>
        <v>0.72529733768056548</v>
      </c>
      <c r="Z41" s="34">
        <f t="shared" si="57"/>
        <v>0.71478578206200649</v>
      </c>
      <c r="AA41" s="34">
        <f t="shared" si="57"/>
        <v>0.70442656782922386</v>
      </c>
      <c r="AB41" s="34">
        <f t="shared" si="57"/>
        <v>0.6942174871360467</v>
      </c>
      <c r="AC41" s="34">
        <f t="shared" si="57"/>
        <v>0.68415636413407499</v>
      </c>
      <c r="AD41" s="34">
        <f t="shared" si="57"/>
        <v>0.67424105450894356</v>
      </c>
      <c r="AE41" s="34">
        <f t="shared" si="57"/>
        <v>0.66446944502330685</v>
      </c>
      <c r="AF41" s="34">
        <f t="shared" si="57"/>
        <v>0.65483945306644742</v>
      </c>
      <c r="AG41" s="34">
        <f t="shared" si="57"/>
        <v>0.64534902621041201</v>
      </c>
      <c r="AH41" s="34">
        <f t="shared" ref="AH41:BM41" si="58">IF(AND(AH16&lt;=($A$5+$A$7),AH16&gt;$A$7),AH40*AH19,0)</f>
        <v>0.63599614177258001</v>
      </c>
      <c r="AI41" s="34">
        <f t="shared" si="58"/>
        <v>0.62677880638457162</v>
      </c>
      <c r="AJ41" s="34">
        <f t="shared" si="58"/>
        <v>0.61769505556740401</v>
      </c>
      <c r="AK41" s="34">
        <f t="shared" si="58"/>
        <v>0.60874295331280404</v>
      </c>
      <c r="AL41" s="34">
        <f t="shared" si="58"/>
        <v>0.59992059167058953</v>
      </c>
      <c r="AM41" s="34">
        <f t="shared" si="58"/>
        <v>0.59122609034203022</v>
      </c>
      <c r="AN41" s="34">
        <f t="shared" si="58"/>
        <v>0.58265759627910241</v>
      </c>
      <c r="AO41" s="34">
        <f t="shared" si="58"/>
        <v>0.57421328328955024</v>
      </c>
      <c r="AP41" s="34">
        <f t="shared" si="58"/>
        <v>0.56589135164767279</v>
      </c>
      <c r="AQ41" s="34">
        <f t="shared" si="58"/>
        <v>0.55769002771074994</v>
      </c>
      <c r="AR41" s="34">
        <f t="shared" si="58"/>
        <v>0.54960756354102913</v>
      </c>
      <c r="AS41" s="34">
        <f t="shared" si="58"/>
        <v>0.5416422365331881</v>
      </c>
      <c r="AT41" s="34">
        <f t="shared" si="58"/>
        <v>0.53379234904719997</v>
      </c>
      <c r="AU41" s="34">
        <f t="shared" si="58"/>
        <v>0.52605622804651597</v>
      </c>
      <c r="AV41" s="34">
        <f t="shared" si="58"/>
        <v>0.51843222474149397</v>
      </c>
      <c r="AW41" s="34">
        <f t="shared" si="58"/>
        <v>0.51091871423799418</v>
      </c>
      <c r="AX41" s="34">
        <f t="shared" si="58"/>
        <v>0.50351409519106682</v>
      </c>
      <c r="AY41" s="34">
        <f t="shared" si="58"/>
        <v>0.4962167894636601</v>
      </c>
      <c r="AZ41" s="34">
        <f t="shared" si="58"/>
        <v>0.48902524179027368</v>
      </c>
      <c r="BA41" s="34">
        <f t="shared" si="58"/>
        <v>0.48193791944548708</v>
      </c>
      <c r="BB41" s="34">
        <f t="shared" si="58"/>
        <v>0.47495331191729173</v>
      </c>
      <c r="BC41" s="34">
        <f t="shared" si="58"/>
        <v>0.46806993058515706</v>
      </c>
      <c r="BD41" s="34">
        <f t="shared" si="58"/>
        <v>0.46128630840276352</v>
      </c>
      <c r="BE41" s="34">
        <f t="shared" si="58"/>
        <v>0.45460099958533218</v>
      </c>
      <c r="BF41" s="34">
        <f t="shared" si="58"/>
        <v>0.4480125793014868</v>
      </c>
      <c r="BG41" s="34">
        <f t="shared" si="58"/>
        <v>0.44151964336958133</v>
      </c>
      <c r="BH41" s="34">
        <f t="shared" si="58"/>
        <v>0.435120807958428</v>
      </c>
      <c r="BI41" s="34">
        <f t="shared" si="58"/>
        <v>0.42881470929236382</v>
      </c>
      <c r="BJ41" s="34">
        <f t="shared" si="58"/>
        <v>0</v>
      </c>
      <c r="BK41" s="34">
        <f t="shared" si="58"/>
        <v>0</v>
      </c>
      <c r="BL41" s="34">
        <f t="shared" si="58"/>
        <v>0</v>
      </c>
      <c r="BM41" s="34">
        <f t="shared" si="58"/>
        <v>0</v>
      </c>
      <c r="BN41" s="34">
        <f t="shared" ref="BN41:CS41" si="59">IF(AND(BN16&lt;=($A$5+$A$7),BN16&gt;$A$7),BN40*BN19,0)</f>
        <v>0</v>
      </c>
      <c r="BO41" s="34">
        <f t="shared" si="59"/>
        <v>0</v>
      </c>
      <c r="BP41" s="34">
        <f t="shared" si="59"/>
        <v>0</v>
      </c>
      <c r="BQ41" s="34">
        <f t="shared" si="59"/>
        <v>0</v>
      </c>
      <c r="BR41" s="34">
        <f t="shared" si="59"/>
        <v>0</v>
      </c>
      <c r="BS41" s="34">
        <f t="shared" si="59"/>
        <v>0</v>
      </c>
      <c r="BT41" s="34">
        <f t="shared" si="59"/>
        <v>0</v>
      </c>
      <c r="BU41" s="34">
        <f t="shared" si="59"/>
        <v>0</v>
      </c>
      <c r="BV41" s="34">
        <f t="shared" si="59"/>
        <v>0</v>
      </c>
      <c r="BW41" s="34">
        <f t="shared" si="59"/>
        <v>0</v>
      </c>
      <c r="BX41" s="34">
        <f t="shared" si="59"/>
        <v>0</v>
      </c>
      <c r="BY41" s="34">
        <f t="shared" si="59"/>
        <v>0</v>
      </c>
      <c r="BZ41" s="34">
        <f t="shared" si="59"/>
        <v>0</v>
      </c>
      <c r="CA41" s="34">
        <f t="shared" si="59"/>
        <v>0</v>
      </c>
      <c r="CB41" s="34">
        <f t="shared" si="59"/>
        <v>0</v>
      </c>
      <c r="CC41" s="34">
        <f t="shared" si="59"/>
        <v>0</v>
      </c>
      <c r="CD41" s="34">
        <f t="shared" si="59"/>
        <v>0</v>
      </c>
      <c r="CE41" s="34">
        <f t="shared" si="59"/>
        <v>0</v>
      </c>
      <c r="CF41" s="34">
        <f t="shared" si="59"/>
        <v>0</v>
      </c>
      <c r="CG41" s="34">
        <f t="shared" si="59"/>
        <v>0</v>
      </c>
      <c r="CH41" s="34">
        <f t="shared" si="59"/>
        <v>0</v>
      </c>
      <c r="CI41" s="34">
        <f t="shared" si="59"/>
        <v>0</v>
      </c>
      <c r="CJ41" s="34">
        <f t="shared" si="59"/>
        <v>0</v>
      </c>
      <c r="CK41" s="34">
        <f t="shared" si="59"/>
        <v>0</v>
      </c>
      <c r="CL41" s="34">
        <f t="shared" si="59"/>
        <v>0</v>
      </c>
      <c r="CM41" s="34">
        <f t="shared" si="59"/>
        <v>0</v>
      </c>
      <c r="CN41" s="34">
        <f t="shared" si="59"/>
        <v>0</v>
      </c>
      <c r="CO41" s="34">
        <f t="shared" si="59"/>
        <v>0</v>
      </c>
      <c r="CP41" s="34">
        <f t="shared" si="59"/>
        <v>0</v>
      </c>
      <c r="CQ41" s="34">
        <f t="shared" si="59"/>
        <v>0</v>
      </c>
      <c r="CR41" s="34">
        <f t="shared" si="59"/>
        <v>0</v>
      </c>
      <c r="CS41" s="34">
        <f t="shared" si="59"/>
        <v>0</v>
      </c>
      <c r="CT41" s="34">
        <f t="shared" ref="CT41:DD41" si="60">IF(AND(CT16&lt;=($A$5+$A$7),CT16&gt;$A$7),CT40*CT19,0)</f>
        <v>0</v>
      </c>
      <c r="CU41" s="34">
        <f t="shared" si="60"/>
        <v>0</v>
      </c>
      <c r="CV41" s="34">
        <f t="shared" si="60"/>
        <v>0</v>
      </c>
      <c r="CW41" s="34">
        <f t="shared" si="60"/>
        <v>0</v>
      </c>
      <c r="CX41" s="34">
        <f t="shared" si="60"/>
        <v>0</v>
      </c>
      <c r="CY41" s="34">
        <f t="shared" si="60"/>
        <v>0</v>
      </c>
      <c r="CZ41" s="34">
        <f t="shared" si="60"/>
        <v>0</v>
      </c>
      <c r="DA41" s="34">
        <f t="shared" si="60"/>
        <v>0</v>
      </c>
      <c r="DB41" s="34">
        <f t="shared" si="60"/>
        <v>0</v>
      </c>
      <c r="DC41" s="34">
        <f t="shared" si="60"/>
        <v>0</v>
      </c>
      <c r="DD41" s="34">
        <f t="shared" si="60"/>
        <v>0</v>
      </c>
    </row>
    <row r="44" spans="1:108" customFormat="1" x14ac:dyDescent="0.25">
      <c r="A44" s="143" t="s">
        <v>250</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108" s="11" customFormat="1" x14ac:dyDescent="0.25">
      <c r="A45" s="18" t="s">
        <v>207</v>
      </c>
      <c r="B45" s="22">
        <v>2025</v>
      </c>
      <c r="C45" s="11">
        <f>B45+1</f>
        <v>2026</v>
      </c>
      <c r="D45" s="11">
        <f t="shared" ref="D45:AP45" si="61">C45+1</f>
        <v>2027</v>
      </c>
      <c r="E45" s="11">
        <f t="shared" si="61"/>
        <v>2028</v>
      </c>
      <c r="F45" s="11">
        <f t="shared" si="61"/>
        <v>2029</v>
      </c>
      <c r="G45" s="11">
        <f t="shared" si="61"/>
        <v>2030</v>
      </c>
      <c r="H45" s="11">
        <f t="shared" si="61"/>
        <v>2031</v>
      </c>
      <c r="I45" s="11">
        <f t="shared" si="61"/>
        <v>2032</v>
      </c>
      <c r="J45" s="11">
        <f t="shared" si="61"/>
        <v>2033</v>
      </c>
      <c r="K45" s="11">
        <f t="shared" si="61"/>
        <v>2034</v>
      </c>
      <c r="L45" s="11">
        <f t="shared" si="61"/>
        <v>2035</v>
      </c>
      <c r="M45" s="11">
        <f t="shared" si="61"/>
        <v>2036</v>
      </c>
      <c r="N45" s="11">
        <f t="shared" si="61"/>
        <v>2037</v>
      </c>
      <c r="O45" s="11">
        <f t="shared" si="61"/>
        <v>2038</v>
      </c>
      <c r="P45" s="11">
        <f t="shared" si="61"/>
        <v>2039</v>
      </c>
      <c r="Q45" s="11">
        <f t="shared" si="61"/>
        <v>2040</v>
      </c>
      <c r="R45" s="11">
        <f t="shared" si="61"/>
        <v>2041</v>
      </c>
      <c r="S45" s="11">
        <f t="shared" si="61"/>
        <v>2042</v>
      </c>
      <c r="T45" s="11">
        <f t="shared" si="61"/>
        <v>2043</v>
      </c>
      <c r="U45" s="11">
        <f t="shared" si="61"/>
        <v>2044</v>
      </c>
      <c r="V45" s="11">
        <f t="shared" si="61"/>
        <v>2045</v>
      </c>
      <c r="W45" s="11">
        <f t="shared" si="61"/>
        <v>2046</v>
      </c>
      <c r="X45" s="11">
        <f t="shared" si="61"/>
        <v>2047</v>
      </c>
      <c r="Y45" s="11">
        <f t="shared" si="61"/>
        <v>2048</v>
      </c>
      <c r="Z45" s="11">
        <f t="shared" si="61"/>
        <v>2049</v>
      </c>
      <c r="AA45" s="11">
        <f t="shared" si="61"/>
        <v>2050</v>
      </c>
      <c r="AB45" s="11">
        <f t="shared" si="61"/>
        <v>2051</v>
      </c>
      <c r="AC45" s="11">
        <f t="shared" si="61"/>
        <v>2052</v>
      </c>
      <c r="AD45" s="11">
        <f t="shared" si="61"/>
        <v>2053</v>
      </c>
      <c r="AE45" s="11">
        <f t="shared" si="61"/>
        <v>2054</v>
      </c>
      <c r="AF45" s="11">
        <f t="shared" si="61"/>
        <v>2055</v>
      </c>
      <c r="AG45" s="11">
        <f t="shared" si="61"/>
        <v>2056</v>
      </c>
      <c r="AH45" s="11">
        <f t="shared" si="61"/>
        <v>2057</v>
      </c>
      <c r="AI45" s="11">
        <f t="shared" si="61"/>
        <v>2058</v>
      </c>
      <c r="AJ45" s="11">
        <f t="shared" si="61"/>
        <v>2059</v>
      </c>
      <c r="AK45" s="11">
        <f t="shared" si="61"/>
        <v>2060</v>
      </c>
      <c r="AL45" s="11">
        <f t="shared" si="61"/>
        <v>2061</v>
      </c>
      <c r="AM45" s="11">
        <f t="shared" si="61"/>
        <v>2062</v>
      </c>
      <c r="AN45" s="11">
        <f t="shared" si="61"/>
        <v>2063</v>
      </c>
      <c r="AO45" s="11">
        <f t="shared" si="61"/>
        <v>2064</v>
      </c>
      <c r="AP45" s="11">
        <f t="shared" si="61"/>
        <v>2065</v>
      </c>
    </row>
    <row r="46" spans="1:108" customFormat="1" x14ac:dyDescent="0.25">
      <c r="A46" t="s">
        <v>250</v>
      </c>
      <c r="B46" s="37">
        <f>IF(B16&lt;=A5,Projektspecifikt!B45*B19,0)</f>
        <v>0</v>
      </c>
      <c r="C46" s="37">
        <f>IF(C16&lt;=A5,Projektspecifikt!B45*C19,0)</f>
        <v>0</v>
      </c>
      <c r="D46" s="37">
        <f>IF(D16&lt;=A5,Projektspecifikt!B45*D19,0)</f>
        <v>0</v>
      </c>
      <c r="E46" s="37">
        <f>IF(E16&lt;=A5,Projektspecifikt!B45*E19,0)</f>
        <v>0</v>
      </c>
      <c r="F46" s="37">
        <f>IF(F16&lt;=A5,Projektspecifikt!B45*F19,0)</f>
        <v>0</v>
      </c>
      <c r="G46" s="37">
        <f>IF(G16&lt;=A5,Projektspecifikt!B45*G19,0)</f>
        <v>0</v>
      </c>
      <c r="H46" s="37">
        <f>IF(H16&lt;=A5,Projektspecifikt!B45*H19,0)</f>
        <v>0</v>
      </c>
      <c r="I46" s="37">
        <f>IF(I16&lt;=A5,Projektspecifikt!B45*I19,0)</f>
        <v>0</v>
      </c>
      <c r="J46" s="37">
        <f>IF(J16&lt;=A5,Projektspecifikt!B45*J19,0)</f>
        <v>0</v>
      </c>
      <c r="K46" s="37">
        <f>IF(K16&lt;=A5,Projektspecifikt!B45*K19,0)</f>
        <v>0</v>
      </c>
      <c r="L46" s="37">
        <f>IF(L16&lt;=A5,Projektspecifikt!B45*L19,0)</f>
        <v>0</v>
      </c>
      <c r="M46" s="37">
        <f>IF(M16&lt;=A5,Projektspecifikt!B45*M19,0)</f>
        <v>0</v>
      </c>
      <c r="N46" s="37">
        <f>IF(N16&lt;=A5,Projektspecifikt!B45*N19,0)</f>
        <v>0</v>
      </c>
      <c r="O46" s="37">
        <f>IF(O16&lt;=A5,Projektspecifikt!B45*O19,0)</f>
        <v>0</v>
      </c>
      <c r="P46" s="37">
        <f>IF(P16&lt;=A5,Projektspecifikt!B45*P19,0)</f>
        <v>0</v>
      </c>
      <c r="Q46" s="37">
        <f>IF(Q16&lt;=A5,Projektspecifikt!B45*Q19,0)</f>
        <v>0</v>
      </c>
      <c r="R46" s="37">
        <f>IF(R16&lt;=A5,Projektspecifikt!B45*R19,0)</f>
        <v>0</v>
      </c>
      <c r="S46" s="37">
        <f>IF(S16&lt;=A5,Projektspecifikt!B45*S19,0)</f>
        <v>0</v>
      </c>
      <c r="T46" s="37">
        <f>IF(T16&lt;=A5,Projektspecifikt!B45*T19,0)</f>
        <v>0</v>
      </c>
      <c r="U46" s="37">
        <f>IF(U16&lt;=A5,Projektspecifikt!B45*U19,0)</f>
        <v>0</v>
      </c>
      <c r="V46" s="37">
        <f>IF(V16&lt;=A5,Projektspecifikt!B45*V19,0)</f>
        <v>0</v>
      </c>
      <c r="W46" s="37">
        <f>IF(W16&lt;=A5,Projektspecifikt!B45*W19,0)</f>
        <v>0</v>
      </c>
      <c r="X46" s="37">
        <f>IF(X16&lt;=A5,Projektspecifikt!B45*X19,0)</f>
        <v>0</v>
      </c>
      <c r="Y46" s="37">
        <f>IF(Y16&lt;=A5,Projektspecifikt!B45*Y19,0)</f>
        <v>0</v>
      </c>
      <c r="Z46" s="37">
        <f>IF(Z16&lt;=A5,Projektspecifikt!B45*Z19,0)</f>
        <v>0</v>
      </c>
      <c r="AA46" s="37">
        <f>IF(AA16&lt;=A5,Projektspecifikt!B45*AA19,0)</f>
        <v>0</v>
      </c>
      <c r="AB46" s="37">
        <f>IF(AB16&lt;=A5,Projektspecifikt!B45*AB19,0)</f>
        <v>0</v>
      </c>
      <c r="AC46" s="37">
        <f>IF(AC16&lt;=A5,Projektspecifikt!B45*AC19,0)</f>
        <v>0</v>
      </c>
      <c r="AD46" s="37">
        <f>IF(AD16&lt;=A5,Projektspecifikt!B45*AD19,0)</f>
        <v>0</v>
      </c>
      <c r="AE46" s="37">
        <f>IF(AE16&lt;=A5,Projektspecifikt!B45*AE19,0)</f>
        <v>0</v>
      </c>
      <c r="AF46" s="37">
        <f>IF(AF16&lt;=A5,Projektspecifikt!B45*AF19,0)</f>
        <v>0</v>
      </c>
      <c r="AG46" s="37">
        <f>IF(AG16&lt;=A5,Projektspecifikt!B45*AG19,0)</f>
        <v>0</v>
      </c>
      <c r="AH46" s="37">
        <f>IF(AH16&lt;=A5,Projektspecifikt!B45*AH19,0)</f>
        <v>0</v>
      </c>
      <c r="AI46" s="37">
        <f>IF(AI16&lt;=A5,Projektspecifikt!B45*AI19,0)</f>
        <v>0</v>
      </c>
      <c r="AJ46" s="37">
        <f>IF(AJ16&lt;=A5,Projektspecifikt!B45*AJ19,0)</f>
        <v>0</v>
      </c>
      <c r="AK46" s="37">
        <f>IF(AK16&lt;=A5,Projektspecifikt!B45*AK19,0)</f>
        <v>0</v>
      </c>
      <c r="AL46" s="37">
        <f>IF(AL16&lt;=A5,Projektspecifikt!B45*AL19,0)</f>
        <v>0</v>
      </c>
      <c r="AM46" s="37">
        <f>IF(AM16&lt;=A5,Projektspecifikt!B45*AM19,0)</f>
        <v>0</v>
      </c>
      <c r="AN46" s="37">
        <f>IF(AN16&lt;=A5,Projektspecifikt!B45*AN19,0)</f>
        <v>0</v>
      </c>
      <c r="AO46" s="37">
        <f>IF(AO16&lt;=A5,Projektspecifikt!B45*AO19,0)</f>
        <v>0</v>
      </c>
      <c r="AP46" s="37">
        <f>IF(AP16&lt;=A5,Projektspecifikt!B45*AP19,0)</f>
        <v>0</v>
      </c>
    </row>
    <row r="47" spans="1:108" customFormat="1" x14ac:dyDescent="0.25">
      <c r="A47" t="s">
        <v>251</v>
      </c>
      <c r="B47" s="37">
        <f>B46</f>
        <v>0</v>
      </c>
      <c r="C47" s="37">
        <f>B47+C46</f>
        <v>0</v>
      </c>
      <c r="D47" s="37">
        <f>C47+D46</f>
        <v>0</v>
      </c>
      <c r="E47" s="37">
        <f t="shared" ref="E47:AP47" si="62">D47+E46</f>
        <v>0</v>
      </c>
      <c r="F47" s="37">
        <f t="shared" si="62"/>
        <v>0</v>
      </c>
      <c r="G47" s="37">
        <f t="shared" si="62"/>
        <v>0</v>
      </c>
      <c r="H47" s="37">
        <f t="shared" si="62"/>
        <v>0</v>
      </c>
      <c r="I47" s="37">
        <f t="shared" si="62"/>
        <v>0</v>
      </c>
      <c r="J47" s="37">
        <f t="shared" si="62"/>
        <v>0</v>
      </c>
      <c r="K47" s="37">
        <f t="shared" si="62"/>
        <v>0</v>
      </c>
      <c r="L47" s="37">
        <f t="shared" si="62"/>
        <v>0</v>
      </c>
      <c r="M47" s="37">
        <f t="shared" si="62"/>
        <v>0</v>
      </c>
      <c r="N47" s="37">
        <f t="shared" si="62"/>
        <v>0</v>
      </c>
      <c r="O47" s="37">
        <f t="shared" si="62"/>
        <v>0</v>
      </c>
      <c r="P47" s="37">
        <f t="shared" si="62"/>
        <v>0</v>
      </c>
      <c r="Q47" s="37">
        <f t="shared" si="62"/>
        <v>0</v>
      </c>
      <c r="R47" s="37">
        <f t="shared" si="62"/>
        <v>0</v>
      </c>
      <c r="S47" s="37">
        <f t="shared" si="62"/>
        <v>0</v>
      </c>
      <c r="T47" s="37">
        <f t="shared" si="62"/>
        <v>0</v>
      </c>
      <c r="U47" s="37">
        <f t="shared" si="62"/>
        <v>0</v>
      </c>
      <c r="V47" s="37">
        <f t="shared" si="62"/>
        <v>0</v>
      </c>
      <c r="W47" s="37">
        <f t="shared" si="62"/>
        <v>0</v>
      </c>
      <c r="X47" s="37">
        <f t="shared" si="62"/>
        <v>0</v>
      </c>
      <c r="Y47" s="37">
        <f t="shared" si="62"/>
        <v>0</v>
      </c>
      <c r="Z47" s="37">
        <f t="shared" si="62"/>
        <v>0</v>
      </c>
      <c r="AA47" s="37">
        <f t="shared" si="62"/>
        <v>0</v>
      </c>
      <c r="AB47" s="37">
        <f t="shared" si="62"/>
        <v>0</v>
      </c>
      <c r="AC47" s="37">
        <f t="shared" si="62"/>
        <v>0</v>
      </c>
      <c r="AD47" s="37">
        <f t="shared" si="62"/>
        <v>0</v>
      </c>
      <c r="AE47" s="37">
        <f t="shared" si="62"/>
        <v>0</v>
      </c>
      <c r="AF47" s="37">
        <f t="shared" si="62"/>
        <v>0</v>
      </c>
      <c r="AG47" s="37">
        <f t="shared" si="62"/>
        <v>0</v>
      </c>
      <c r="AH47" s="37">
        <f t="shared" si="62"/>
        <v>0</v>
      </c>
      <c r="AI47" s="37">
        <f t="shared" si="62"/>
        <v>0</v>
      </c>
      <c r="AJ47" s="37">
        <f t="shared" si="62"/>
        <v>0</v>
      </c>
      <c r="AK47" s="37">
        <f t="shared" si="62"/>
        <v>0</v>
      </c>
      <c r="AL47" s="37">
        <f t="shared" si="62"/>
        <v>0</v>
      </c>
      <c r="AM47" s="37">
        <f t="shared" si="62"/>
        <v>0</v>
      </c>
      <c r="AN47" s="37">
        <f t="shared" si="62"/>
        <v>0</v>
      </c>
      <c r="AO47" s="37">
        <f t="shared" si="62"/>
        <v>0</v>
      </c>
      <c r="AP47" s="37">
        <f t="shared" si="62"/>
        <v>0</v>
      </c>
    </row>
    <row r="48" spans="1:108" customForma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42" customFormat="1" ht="15.75" x14ac:dyDescent="0.25">
      <c r="A49" s="10" t="s">
        <v>252</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42" s="674" customFormat="1" x14ac:dyDescent="0.25">
      <c r="A50" s="672" t="s">
        <v>253</v>
      </c>
      <c r="B50" s="673"/>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row>
    <row r="51" spans="1:42" customForma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42" s="11" customFormat="1" x14ac:dyDescent="0.25">
      <c r="A52" s="18" t="s">
        <v>207</v>
      </c>
      <c r="B52" s="22">
        <v>2025</v>
      </c>
      <c r="C52" s="11">
        <f>B52+1</f>
        <v>2026</v>
      </c>
      <c r="D52" s="11">
        <f t="shared" ref="D52:AP52" si="63">C52+1</f>
        <v>2027</v>
      </c>
      <c r="E52" s="11">
        <f t="shared" si="63"/>
        <v>2028</v>
      </c>
      <c r="F52" s="11">
        <f t="shared" si="63"/>
        <v>2029</v>
      </c>
      <c r="G52" s="11">
        <f t="shared" si="63"/>
        <v>2030</v>
      </c>
      <c r="H52" s="11">
        <f t="shared" si="63"/>
        <v>2031</v>
      </c>
      <c r="I52" s="11">
        <f t="shared" si="63"/>
        <v>2032</v>
      </c>
      <c r="J52" s="11">
        <f t="shared" si="63"/>
        <v>2033</v>
      </c>
      <c r="K52" s="11">
        <f t="shared" si="63"/>
        <v>2034</v>
      </c>
      <c r="L52" s="11">
        <f t="shared" si="63"/>
        <v>2035</v>
      </c>
      <c r="M52" s="11">
        <f t="shared" si="63"/>
        <v>2036</v>
      </c>
      <c r="N52" s="11">
        <f t="shared" si="63"/>
        <v>2037</v>
      </c>
      <c r="O52" s="11">
        <f t="shared" si="63"/>
        <v>2038</v>
      </c>
      <c r="P52" s="11">
        <f t="shared" si="63"/>
        <v>2039</v>
      </c>
      <c r="Q52" s="11">
        <f t="shared" si="63"/>
        <v>2040</v>
      </c>
      <c r="R52" s="11">
        <f t="shared" si="63"/>
        <v>2041</v>
      </c>
      <c r="S52" s="11">
        <f t="shared" si="63"/>
        <v>2042</v>
      </c>
      <c r="T52" s="11">
        <f t="shared" si="63"/>
        <v>2043</v>
      </c>
      <c r="U52" s="11">
        <f t="shared" si="63"/>
        <v>2044</v>
      </c>
      <c r="V52" s="11">
        <f t="shared" si="63"/>
        <v>2045</v>
      </c>
      <c r="W52" s="11">
        <f t="shared" si="63"/>
        <v>2046</v>
      </c>
      <c r="X52" s="11">
        <f t="shared" si="63"/>
        <v>2047</v>
      </c>
      <c r="Y52" s="11">
        <f t="shared" si="63"/>
        <v>2048</v>
      </c>
      <c r="Z52" s="11">
        <f t="shared" si="63"/>
        <v>2049</v>
      </c>
      <c r="AA52" s="11">
        <f t="shared" si="63"/>
        <v>2050</v>
      </c>
      <c r="AB52" s="11">
        <f t="shared" si="63"/>
        <v>2051</v>
      </c>
      <c r="AC52" s="11">
        <f t="shared" si="63"/>
        <v>2052</v>
      </c>
      <c r="AD52" s="11">
        <f t="shared" si="63"/>
        <v>2053</v>
      </c>
      <c r="AE52" s="11">
        <f t="shared" si="63"/>
        <v>2054</v>
      </c>
      <c r="AF52" s="11">
        <f t="shared" si="63"/>
        <v>2055</v>
      </c>
      <c r="AG52" s="11">
        <f t="shared" si="63"/>
        <v>2056</v>
      </c>
      <c r="AH52" s="11">
        <f t="shared" si="63"/>
        <v>2057</v>
      </c>
      <c r="AI52" s="11">
        <f t="shared" si="63"/>
        <v>2058</v>
      </c>
      <c r="AJ52" s="11">
        <f t="shared" si="63"/>
        <v>2059</v>
      </c>
      <c r="AK52" s="11">
        <f t="shared" si="63"/>
        <v>2060</v>
      </c>
      <c r="AL52" s="11">
        <f t="shared" si="63"/>
        <v>2061</v>
      </c>
      <c r="AM52" s="11">
        <f t="shared" si="63"/>
        <v>2062</v>
      </c>
      <c r="AN52" s="11">
        <f t="shared" si="63"/>
        <v>2063</v>
      </c>
      <c r="AO52" s="11">
        <f t="shared" si="63"/>
        <v>2064</v>
      </c>
      <c r="AP52" s="11">
        <f t="shared" si="63"/>
        <v>2065</v>
      </c>
    </row>
    <row r="53" spans="1:42" customFormat="1" x14ac:dyDescent="0.25">
      <c r="A53" t="s">
        <v>254</v>
      </c>
      <c r="B53" s="144">
        <f>Projektspecifikt!B24+Projektspecifikt!B25-Projektspecifikt!B26-Projektspecifikt!B27+Projektspecifikt!B35+Projektspecifikt!B36-Projektspecifikt!B37-Projektspecifikt!B38</f>
        <v>13.5</v>
      </c>
      <c r="C53" s="144">
        <f>Projektspecifikt!C24+Projektspecifikt!C25-Projektspecifikt!C26-Projektspecifikt!C27+Projektspecifikt!C35+Projektspecifikt!C36-Projektspecifikt!C37-Projektspecifikt!C38</f>
        <v>4.5</v>
      </c>
      <c r="D53" s="144">
        <f>Projektspecifikt!D24+Projektspecifikt!D25-Projektspecifikt!D26-Projektspecifikt!D27+Projektspecifikt!D35+Projektspecifikt!D36-Projektspecifikt!D37-Projektspecifikt!D38</f>
        <v>13.5</v>
      </c>
      <c r="E53" s="144">
        <f>Projektspecifikt!E24+Projektspecifikt!E25-Projektspecifikt!E26-Projektspecifikt!E27+Projektspecifikt!E35+Projektspecifikt!E36-Projektspecifikt!E37-Projektspecifikt!E38</f>
        <v>5.5</v>
      </c>
      <c r="F53" s="144">
        <f>Projektspecifikt!F24+Projektspecifikt!F25-Projektspecifikt!F26-Projektspecifikt!F27+Projektspecifikt!F35+Projektspecifikt!F36-Projektspecifikt!F37-Projektspecifikt!F38</f>
        <v>4.5</v>
      </c>
      <c r="G53" s="144">
        <f>Projektspecifikt!G24+Projektspecifikt!G25-Projektspecifikt!G26-Projektspecifikt!G27+Projektspecifikt!G35+Projektspecifikt!G36-Projektspecifikt!G37-Projektspecifikt!G38</f>
        <v>3.5</v>
      </c>
      <c r="H53" s="144">
        <f>Projektspecifikt!H24+Projektspecifikt!H25-Projektspecifikt!H26-Projektspecifikt!H27+Projektspecifikt!H35+Projektspecifikt!H36-Projektspecifikt!H37-Projektspecifikt!H38</f>
        <v>3.5</v>
      </c>
      <c r="I53" s="144">
        <f>Projektspecifikt!I24+Projektspecifikt!I25-Projektspecifikt!I26-Projektspecifikt!I27+Projektspecifikt!I35+Projektspecifikt!I36-Projektspecifikt!I37-Projektspecifikt!I38</f>
        <v>13.5</v>
      </c>
      <c r="J53" s="144">
        <f>Projektspecifikt!J24+Projektspecifikt!J25-Projektspecifikt!J26-Projektspecifikt!J27+Projektspecifikt!J35+Projektspecifikt!J36-Projektspecifikt!J37-Projektspecifikt!J38</f>
        <v>3.5</v>
      </c>
      <c r="K53" s="144">
        <f>Projektspecifikt!K24+Projektspecifikt!K25-Projektspecifikt!K26-Projektspecifikt!K27+Projektspecifikt!K35+Projektspecifikt!K36-Projektspecifikt!K37-Projektspecifikt!K38</f>
        <v>3.5</v>
      </c>
      <c r="L53" s="144">
        <f>Projektspecifikt!L24+Projektspecifikt!L25-Projektspecifikt!L26-Projektspecifikt!L27+Projektspecifikt!L35+Projektspecifikt!L36-Projektspecifikt!L37-Projektspecifikt!L38</f>
        <v>-96.5</v>
      </c>
      <c r="M53" s="144">
        <f>Projektspecifikt!M24+Projektspecifikt!M25-Projektspecifikt!M26-Projektspecifikt!M27+Projektspecifikt!M35+Projektspecifikt!M36-Projektspecifikt!M37-Projektspecifikt!M38</f>
        <v>3.5</v>
      </c>
      <c r="N53" s="144">
        <f>Projektspecifikt!N24+Projektspecifikt!N25-Projektspecifikt!N26-Projektspecifikt!N27+Projektspecifikt!N35+Projektspecifikt!N36-Projektspecifikt!N37-Projektspecifikt!N38</f>
        <v>3.5</v>
      </c>
      <c r="O53" s="144">
        <f>Projektspecifikt!O24+Projektspecifikt!O25-Projektspecifikt!O26-Projektspecifikt!O27+Projektspecifikt!O35+Projektspecifikt!O36-Projektspecifikt!O37-Projektspecifikt!O38</f>
        <v>103.5</v>
      </c>
      <c r="P53" s="144">
        <f>Projektspecifikt!P24+Projektspecifikt!P25-Projektspecifikt!P26-Projektspecifikt!P27+Projektspecifikt!P35+Projektspecifikt!P36-Projektspecifikt!P37-Projektspecifikt!P38</f>
        <v>3.5</v>
      </c>
      <c r="Q53" s="144">
        <f>Projektspecifikt!Q24+Projektspecifikt!Q25-Projektspecifikt!Q26-Projektspecifikt!Q27+Projektspecifikt!Q35+Projektspecifikt!Q36-Projektspecifikt!Q37-Projektspecifikt!Q38</f>
        <v>3.5</v>
      </c>
      <c r="R53" s="144">
        <f>Projektspecifikt!R24+Projektspecifikt!R25-Projektspecifikt!R26-Projektspecifikt!R27+Projektspecifikt!R35+Projektspecifikt!R36-Projektspecifikt!R37-Projektspecifikt!R38</f>
        <v>3.5</v>
      </c>
      <c r="S53" s="144">
        <f>Projektspecifikt!S24+Projektspecifikt!S25-Projektspecifikt!S26-Projektspecifikt!S27+Projektspecifikt!S35+Projektspecifikt!S36-Projektspecifikt!S37-Projektspecifikt!S38</f>
        <v>3.5</v>
      </c>
      <c r="T53" s="144">
        <f>Projektspecifikt!T24+Projektspecifikt!T25-Projektspecifikt!T26-Projektspecifikt!T27+Projektspecifikt!T35+Projektspecifikt!T36-Projektspecifikt!T37-Projektspecifikt!T38</f>
        <v>3.5</v>
      </c>
      <c r="U53" s="144">
        <f>Projektspecifikt!U24+Projektspecifikt!U25-Projektspecifikt!U26-Projektspecifikt!U27+Projektspecifikt!U35+Projektspecifikt!U36-Projektspecifikt!U37-Projektspecifikt!U38</f>
        <v>3.5</v>
      </c>
      <c r="V53" s="144">
        <f>Projektspecifikt!V24+Projektspecifikt!V25-Projektspecifikt!V26-Projektspecifikt!V27+Projektspecifikt!V35+Projektspecifikt!V36-Projektspecifikt!V37-Projektspecifikt!V38</f>
        <v>3.5</v>
      </c>
      <c r="W53" s="144">
        <f>Projektspecifikt!W24+Projektspecifikt!W25-Projektspecifikt!W26-Projektspecifikt!W27+Projektspecifikt!W35+Projektspecifikt!W36-Projektspecifikt!W37-Projektspecifikt!W38</f>
        <v>3.5</v>
      </c>
      <c r="X53" s="144">
        <f>Projektspecifikt!X24+Projektspecifikt!X25-Projektspecifikt!X26-Projektspecifikt!X27+Projektspecifikt!X35+Projektspecifikt!X36-Projektspecifikt!X37-Projektspecifikt!X38</f>
        <v>3.5</v>
      </c>
      <c r="Y53" s="144">
        <f>Projektspecifikt!Y24+Projektspecifikt!Y25-Projektspecifikt!Y26-Projektspecifikt!Y27+Projektspecifikt!Y35+Projektspecifikt!Y36-Projektspecifikt!Y37-Projektspecifikt!Y38</f>
        <v>3.5</v>
      </c>
      <c r="Z53" s="144">
        <f>Projektspecifikt!Z24+Projektspecifikt!Z25-Projektspecifikt!Z26-Projektspecifikt!Z27+Projektspecifikt!Z35+Projektspecifikt!Z36-Projektspecifikt!Z37-Projektspecifikt!Z38</f>
        <v>3.5</v>
      </c>
      <c r="AA53" s="144">
        <f>Projektspecifikt!AA24+Projektspecifikt!AA25-Projektspecifikt!AA26-Projektspecifikt!AA27+Projektspecifikt!AA35+Projektspecifikt!AA36-Projektspecifikt!AA37-Projektspecifikt!AA38</f>
        <v>3.5</v>
      </c>
      <c r="AB53" s="144">
        <f>Projektspecifikt!AB24+Projektspecifikt!AB25-Projektspecifikt!AB26-Projektspecifikt!AB27+Projektspecifikt!AB35+Projektspecifikt!AB36-Projektspecifikt!AB37-Projektspecifikt!AB38</f>
        <v>3.5</v>
      </c>
      <c r="AC53" s="144">
        <f>Projektspecifikt!AC24+Projektspecifikt!AC25-Projektspecifikt!AC26-Projektspecifikt!AC27+Projektspecifikt!AC35+Projektspecifikt!AC36-Projektspecifikt!AC37-Projektspecifikt!AC38</f>
        <v>3.5</v>
      </c>
      <c r="AD53" s="144">
        <f>Projektspecifikt!AD24+Projektspecifikt!AD25-Projektspecifikt!AD26-Projektspecifikt!AD27+Projektspecifikt!AD35+Projektspecifikt!AD36-Projektspecifikt!AD37-Projektspecifikt!AD38</f>
        <v>3.5</v>
      </c>
      <c r="AE53" s="144">
        <f>Projektspecifikt!AE24+Projektspecifikt!AE25-Projektspecifikt!AE26-Projektspecifikt!AE27+Projektspecifikt!AE35+Projektspecifikt!AE36-Projektspecifikt!AE37-Projektspecifikt!AE38</f>
        <v>3.5</v>
      </c>
      <c r="AF53" s="144">
        <f>Projektspecifikt!AF24+Projektspecifikt!AF25-Projektspecifikt!AF26-Projektspecifikt!AF27+Projektspecifikt!AF35+Projektspecifikt!AF36-Projektspecifikt!AF37-Projektspecifikt!AF38</f>
        <v>3.5</v>
      </c>
      <c r="AG53" s="144">
        <f>Projektspecifikt!AG24+Projektspecifikt!AG25-Projektspecifikt!AG26-Projektspecifikt!AG27+Projektspecifikt!AG35+Projektspecifikt!AG36-Projektspecifikt!AG37-Projektspecifikt!AG38</f>
        <v>3.5</v>
      </c>
      <c r="AH53" s="144">
        <f>Projektspecifikt!AH24+Projektspecifikt!AH25-Projektspecifikt!AH26-Projektspecifikt!AH27+Projektspecifikt!AH35+Projektspecifikt!AH36-Projektspecifikt!AH37-Projektspecifikt!AH38</f>
        <v>3.5</v>
      </c>
      <c r="AI53" s="144">
        <f>Projektspecifikt!AI24+Projektspecifikt!AI25-Projektspecifikt!AI26-Projektspecifikt!AI27+Projektspecifikt!AI35+Projektspecifikt!AI36-Projektspecifikt!AI37-Projektspecifikt!AI38</f>
        <v>3.5</v>
      </c>
      <c r="AJ53" s="144">
        <f>Projektspecifikt!AJ24+Projektspecifikt!AJ25-Projektspecifikt!AJ26-Projektspecifikt!AJ27+Projektspecifikt!AJ35+Projektspecifikt!AJ36-Projektspecifikt!AJ37-Projektspecifikt!AJ38</f>
        <v>3.5</v>
      </c>
      <c r="AK53" s="144">
        <f>Projektspecifikt!AK24+Projektspecifikt!AK25-Projektspecifikt!AK26-Projektspecifikt!AK27+Projektspecifikt!AK35+Projektspecifikt!AK36-Projektspecifikt!AK37-Projektspecifikt!AK38</f>
        <v>3.5</v>
      </c>
      <c r="AL53" s="144">
        <f>Projektspecifikt!AL24+Projektspecifikt!AL25-Projektspecifikt!AL26-Projektspecifikt!AL27+Projektspecifikt!AL35+Projektspecifikt!AL36-Projektspecifikt!AL37-Projektspecifikt!AL38</f>
        <v>3.5</v>
      </c>
      <c r="AM53" s="144">
        <f>Projektspecifikt!AM24+Projektspecifikt!AM25-Projektspecifikt!AM26-Projektspecifikt!AM27+Projektspecifikt!AM35+Projektspecifikt!AM36-Projektspecifikt!AM37-Projektspecifikt!AM38</f>
        <v>3.5</v>
      </c>
      <c r="AN53" s="144">
        <f>Projektspecifikt!AN24+Projektspecifikt!AN25-Projektspecifikt!AN26-Projektspecifikt!AN27+Projektspecifikt!AN35+Projektspecifikt!AN36-Projektspecifikt!AN37-Projektspecifikt!AN38</f>
        <v>3.5</v>
      </c>
      <c r="AO53" s="144">
        <f>Projektspecifikt!AO24+Projektspecifikt!AO25-Projektspecifikt!AO26-Projektspecifikt!AO27+Projektspecifikt!AO35+Projektspecifikt!AO36-Projektspecifikt!AO37-Projektspecifikt!AO38</f>
        <v>3.5</v>
      </c>
      <c r="AP53" s="144">
        <f>Projektspecifikt!AP24+Projektspecifikt!AP25-Projektspecifikt!AP26-Projektspecifikt!AP27+Projektspecifikt!AP35+Projektspecifikt!AP36-Projektspecifikt!AP37-Projektspecifikt!AP38</f>
        <v>3.5</v>
      </c>
    </row>
    <row r="54" spans="1:42" customFormat="1" x14ac:dyDescent="0.25">
      <c r="A54" t="s">
        <v>255</v>
      </c>
      <c r="B54" s="1">
        <f>Projektspecifikt!B24+Projektspecifikt!B25-Projektspecifikt!B28-Projektspecifikt!B29+Projektspecifikt!B35+Projektspecifikt!B36-Projektspecifikt!B39-Projektspecifikt!B40</f>
        <v>14</v>
      </c>
      <c r="C54" s="1">
        <f>Projektspecifikt!C24+Projektspecifikt!C25-Projektspecifikt!C28-Projektspecifikt!C29+Projektspecifikt!C35+Projektspecifikt!C36-Projektspecifikt!C39-Projektspecifikt!C40</f>
        <v>6</v>
      </c>
      <c r="D54" s="1">
        <f>Projektspecifikt!D24+Projektspecifikt!D25-Projektspecifikt!D28-Projektspecifikt!D29+Projektspecifikt!D35+Projektspecifikt!D36-Projektspecifikt!D39-Projektspecifikt!D40</f>
        <v>14</v>
      </c>
      <c r="E54" s="1">
        <f>Projektspecifikt!E24+Projektspecifikt!E25-Projektspecifikt!E28-Projektspecifikt!E29+Projektspecifikt!E35+Projektspecifikt!E36-Projektspecifikt!E39-Projektspecifikt!E40</f>
        <v>6</v>
      </c>
      <c r="F54" s="1">
        <f>Projektspecifikt!F24+Projektspecifikt!F25-Projektspecifikt!F28-Projektspecifikt!F29+Projektspecifikt!F35+Projektspecifikt!F36-Projektspecifikt!F39-Projektspecifikt!F40</f>
        <v>6</v>
      </c>
      <c r="G54" s="1">
        <f>Projektspecifikt!G24+Projektspecifikt!G25-Projektspecifikt!G28-Projektspecifikt!G29+Projektspecifikt!G35+Projektspecifikt!G36-Projektspecifikt!G39-Projektspecifikt!G40</f>
        <v>4</v>
      </c>
      <c r="H54" s="1">
        <f>Projektspecifikt!H24+Projektspecifikt!H25-Projektspecifikt!H28-Projektspecifikt!H29+Projektspecifikt!H35+Projektspecifikt!H36-Projektspecifikt!H39-Projektspecifikt!H40</f>
        <v>4</v>
      </c>
      <c r="I54" s="1">
        <f>Projektspecifikt!I24+Projektspecifikt!I25-Projektspecifikt!I28-Projektspecifikt!I29+Projektspecifikt!I35+Projektspecifikt!I36-Projektspecifikt!I39-Projektspecifikt!I40</f>
        <v>14</v>
      </c>
      <c r="J54" s="1">
        <f>Projektspecifikt!J24+Projektspecifikt!J25-Projektspecifikt!J28-Projektspecifikt!J29+Projektspecifikt!J35+Projektspecifikt!J36-Projektspecifikt!J39-Projektspecifikt!J40</f>
        <v>4</v>
      </c>
      <c r="K54" s="1">
        <f>Projektspecifikt!K24+Projektspecifikt!K25-Projektspecifikt!K28-Projektspecifikt!K29+Projektspecifikt!K35+Projektspecifikt!K36-Projektspecifikt!K39-Projektspecifikt!K40</f>
        <v>4</v>
      </c>
      <c r="L54" s="1">
        <f>Projektspecifikt!L24+Projektspecifikt!L25-Projektspecifikt!L28-Projektspecifikt!L29+Projektspecifikt!L35+Projektspecifikt!L36-Projektspecifikt!L39-Projektspecifikt!L40</f>
        <v>4</v>
      </c>
      <c r="M54" s="1">
        <f>Projektspecifikt!M24+Projektspecifikt!M25-Projektspecifikt!M28-Projektspecifikt!M29+Projektspecifikt!M35+Projektspecifikt!M36-Projektspecifikt!M39-Projektspecifikt!M40</f>
        <v>4</v>
      </c>
      <c r="N54" s="1">
        <f>Projektspecifikt!N24+Projektspecifikt!N25-Projektspecifikt!N28-Projektspecifikt!N29+Projektspecifikt!N35+Projektspecifikt!N36-Projektspecifikt!N39-Projektspecifikt!N40</f>
        <v>4</v>
      </c>
      <c r="O54" s="1">
        <f>Projektspecifikt!O24+Projektspecifikt!O25-Projektspecifikt!O28-Projektspecifikt!O29+Projektspecifikt!O35+Projektspecifikt!O36-Projektspecifikt!O39-Projektspecifikt!O40</f>
        <v>104</v>
      </c>
      <c r="P54" s="1">
        <f>Projektspecifikt!P24+Projektspecifikt!P25-Projektspecifikt!P28-Projektspecifikt!P29+Projektspecifikt!P35+Projektspecifikt!P36-Projektspecifikt!P39-Projektspecifikt!P40</f>
        <v>4</v>
      </c>
      <c r="Q54" s="1">
        <f>Projektspecifikt!Q24+Projektspecifikt!Q25-Projektspecifikt!Q28-Projektspecifikt!Q29+Projektspecifikt!Q35+Projektspecifikt!Q36-Projektspecifikt!Q39-Projektspecifikt!Q40</f>
        <v>4</v>
      </c>
      <c r="R54" s="1">
        <f>Projektspecifikt!R24+Projektspecifikt!R25-Projektspecifikt!R28-Projektspecifikt!R29+Projektspecifikt!R35+Projektspecifikt!R36-Projektspecifikt!R39-Projektspecifikt!R40</f>
        <v>4</v>
      </c>
      <c r="S54" s="1">
        <f>Projektspecifikt!S24+Projektspecifikt!S25-Projektspecifikt!S28-Projektspecifikt!S29+Projektspecifikt!S35+Projektspecifikt!S36-Projektspecifikt!S39-Projektspecifikt!S40</f>
        <v>4</v>
      </c>
      <c r="T54" s="1">
        <f>Projektspecifikt!T24+Projektspecifikt!T25-Projektspecifikt!T28-Projektspecifikt!T29+Projektspecifikt!T35+Projektspecifikt!T36-Projektspecifikt!T39-Projektspecifikt!T40</f>
        <v>4</v>
      </c>
      <c r="U54" s="1">
        <f>Projektspecifikt!U24+Projektspecifikt!U25-Projektspecifikt!U28-Projektspecifikt!U29+Projektspecifikt!U35+Projektspecifikt!U36-Projektspecifikt!U39-Projektspecifikt!U40</f>
        <v>4</v>
      </c>
      <c r="V54" s="1">
        <f>Projektspecifikt!V24+Projektspecifikt!V25-Projektspecifikt!V28-Projektspecifikt!V29+Projektspecifikt!V35+Projektspecifikt!V36-Projektspecifikt!V39-Projektspecifikt!V40</f>
        <v>4</v>
      </c>
      <c r="W54" s="1">
        <f>Projektspecifikt!W24+Projektspecifikt!W25-Projektspecifikt!W28-Projektspecifikt!W29+Projektspecifikt!W35+Projektspecifikt!W36-Projektspecifikt!W39-Projektspecifikt!W40</f>
        <v>4</v>
      </c>
      <c r="X54" s="1">
        <f>Projektspecifikt!X24+Projektspecifikt!X25-Projektspecifikt!X28-Projektspecifikt!X29+Projektspecifikt!X35+Projektspecifikt!X36-Projektspecifikt!X39-Projektspecifikt!X40</f>
        <v>4</v>
      </c>
      <c r="Y54" s="1">
        <f>Projektspecifikt!Y24+Projektspecifikt!Y25-Projektspecifikt!Y28-Projektspecifikt!Y29+Projektspecifikt!Y35+Projektspecifikt!Y36-Projektspecifikt!Y39-Projektspecifikt!Y40</f>
        <v>4</v>
      </c>
      <c r="Z54" s="1">
        <f>Projektspecifikt!Z24+Projektspecifikt!Z25-Projektspecifikt!Z28-Projektspecifikt!Z29+Projektspecifikt!Z35+Projektspecifikt!Z36-Projektspecifikt!Z39-Projektspecifikt!Z40</f>
        <v>4</v>
      </c>
      <c r="AA54" s="1">
        <f>Projektspecifikt!AA24+Projektspecifikt!AA25-Projektspecifikt!AA28-Projektspecifikt!AA29+Projektspecifikt!AA35+Projektspecifikt!AA36-Projektspecifikt!AA39-Projektspecifikt!AA40</f>
        <v>4</v>
      </c>
      <c r="AB54" s="1">
        <f>Projektspecifikt!AB24+Projektspecifikt!AB25-Projektspecifikt!AB28-Projektspecifikt!AB29+Projektspecifikt!AB35+Projektspecifikt!AB36-Projektspecifikt!AB39-Projektspecifikt!AB40</f>
        <v>4</v>
      </c>
      <c r="AC54" s="1">
        <f>Projektspecifikt!AC24+Projektspecifikt!AC25-Projektspecifikt!AC28-Projektspecifikt!AC29+Projektspecifikt!AC35+Projektspecifikt!AC36-Projektspecifikt!AC39-Projektspecifikt!AC40</f>
        <v>4</v>
      </c>
      <c r="AD54" s="1">
        <f>Projektspecifikt!AD24+Projektspecifikt!AD25-Projektspecifikt!AD28-Projektspecifikt!AD29+Projektspecifikt!AD35+Projektspecifikt!AD36-Projektspecifikt!AD39-Projektspecifikt!AD40</f>
        <v>4</v>
      </c>
      <c r="AE54" s="1">
        <f>Projektspecifikt!AE24+Projektspecifikt!AE25-Projektspecifikt!AE28-Projektspecifikt!AE29+Projektspecifikt!AE35+Projektspecifikt!AE36-Projektspecifikt!AE39-Projektspecifikt!AE40</f>
        <v>4</v>
      </c>
      <c r="AF54" s="1">
        <f>Projektspecifikt!AF24+Projektspecifikt!AF25-Projektspecifikt!AF28-Projektspecifikt!AF29+Projektspecifikt!AF35+Projektspecifikt!AF36-Projektspecifikt!AF39-Projektspecifikt!AF40</f>
        <v>4</v>
      </c>
      <c r="AG54" s="1">
        <f>Projektspecifikt!AG24+Projektspecifikt!AG25-Projektspecifikt!AG28-Projektspecifikt!AG29+Projektspecifikt!AG35+Projektspecifikt!AG36-Projektspecifikt!AG39-Projektspecifikt!AG40</f>
        <v>4</v>
      </c>
      <c r="AH54" s="1">
        <f>Projektspecifikt!AH24+Projektspecifikt!AH25-Projektspecifikt!AH28-Projektspecifikt!AH29+Projektspecifikt!AH35+Projektspecifikt!AH36-Projektspecifikt!AH39-Projektspecifikt!AH40</f>
        <v>4</v>
      </c>
      <c r="AI54" s="1">
        <f>Projektspecifikt!AI24+Projektspecifikt!AI25-Projektspecifikt!AI28-Projektspecifikt!AI29+Projektspecifikt!AI35+Projektspecifikt!AI36-Projektspecifikt!AI39-Projektspecifikt!AI40</f>
        <v>4</v>
      </c>
      <c r="AJ54" s="1">
        <f>Projektspecifikt!AJ24+Projektspecifikt!AJ25-Projektspecifikt!AJ28-Projektspecifikt!AJ29+Projektspecifikt!AJ35+Projektspecifikt!AJ36-Projektspecifikt!AJ39-Projektspecifikt!AJ40</f>
        <v>4</v>
      </c>
      <c r="AK54" s="1">
        <f>Projektspecifikt!AK24+Projektspecifikt!AK25-Projektspecifikt!AK28-Projektspecifikt!AK29+Projektspecifikt!AK35+Projektspecifikt!AK36-Projektspecifikt!AK39-Projektspecifikt!AK40</f>
        <v>4</v>
      </c>
      <c r="AL54" s="1">
        <f>Projektspecifikt!AL24+Projektspecifikt!AL25-Projektspecifikt!AL28-Projektspecifikt!AL29+Projektspecifikt!AL35+Projektspecifikt!AL36-Projektspecifikt!AL39-Projektspecifikt!AL40</f>
        <v>4</v>
      </c>
      <c r="AM54" s="1">
        <f>Projektspecifikt!AM24+Projektspecifikt!AM25-Projektspecifikt!AM28-Projektspecifikt!AM29+Projektspecifikt!AM35+Projektspecifikt!AM36-Projektspecifikt!AM39-Projektspecifikt!AM40</f>
        <v>4</v>
      </c>
      <c r="AN54" s="1">
        <f>Projektspecifikt!AN24+Projektspecifikt!AN25-Projektspecifikt!AN28-Projektspecifikt!AN29+Projektspecifikt!AN35+Projektspecifikt!AN36-Projektspecifikt!AN39-Projektspecifikt!AN40</f>
        <v>4</v>
      </c>
      <c r="AO54" s="1">
        <f>Projektspecifikt!AO24+Projektspecifikt!AO25-Projektspecifikt!AO28-Projektspecifikt!AO29+Projektspecifikt!AO35+Projektspecifikt!AO36-Projektspecifikt!AO39-Projektspecifikt!AO40</f>
        <v>4</v>
      </c>
      <c r="AP54" s="1">
        <f>Projektspecifikt!AP24+Projektspecifikt!AP25-Projektspecifikt!AP28-Projektspecifikt!AP29+Projektspecifikt!AP35+Projektspecifikt!AP36-Projektspecifikt!AP39-Projektspecifikt!AP40</f>
        <v>4</v>
      </c>
    </row>
    <row r="55" spans="1:42" customForma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42" customFormat="1" ht="15.75" x14ac:dyDescent="0.25">
      <c r="A56" s="10" t="s">
        <v>256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42" s="674" customFormat="1" x14ac:dyDescent="0.25">
      <c r="A57" s="675" t="s">
        <v>257</v>
      </c>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row>
    <row r="58" spans="1:42" customForma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42" customForma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2" s="11" customFormat="1" x14ac:dyDescent="0.25">
      <c r="A60" s="18" t="s">
        <v>207</v>
      </c>
      <c r="B60" s="22">
        <v>2025</v>
      </c>
      <c r="C60" s="11">
        <f>B60+1</f>
        <v>2026</v>
      </c>
      <c r="D60" s="11">
        <f t="shared" ref="D60:AP60" si="64">C60+1</f>
        <v>2027</v>
      </c>
      <c r="E60" s="11">
        <f t="shared" si="64"/>
        <v>2028</v>
      </c>
      <c r="F60" s="11">
        <f t="shared" si="64"/>
        <v>2029</v>
      </c>
      <c r="G60" s="11">
        <f t="shared" si="64"/>
        <v>2030</v>
      </c>
      <c r="H60" s="11">
        <f t="shared" si="64"/>
        <v>2031</v>
      </c>
      <c r="I60" s="11">
        <f t="shared" si="64"/>
        <v>2032</v>
      </c>
      <c r="J60" s="11">
        <f t="shared" si="64"/>
        <v>2033</v>
      </c>
      <c r="K60" s="11">
        <f t="shared" si="64"/>
        <v>2034</v>
      </c>
      <c r="L60" s="11">
        <f t="shared" si="64"/>
        <v>2035</v>
      </c>
      <c r="M60" s="11">
        <f t="shared" si="64"/>
        <v>2036</v>
      </c>
      <c r="N60" s="11">
        <f t="shared" si="64"/>
        <v>2037</v>
      </c>
      <c r="O60" s="11">
        <f t="shared" si="64"/>
        <v>2038</v>
      </c>
      <c r="P60" s="11">
        <f t="shared" si="64"/>
        <v>2039</v>
      </c>
      <c r="Q60" s="11">
        <f t="shared" si="64"/>
        <v>2040</v>
      </c>
      <c r="R60" s="11">
        <f t="shared" si="64"/>
        <v>2041</v>
      </c>
      <c r="S60" s="11">
        <f t="shared" si="64"/>
        <v>2042</v>
      </c>
      <c r="T60" s="11">
        <f t="shared" si="64"/>
        <v>2043</v>
      </c>
      <c r="U60" s="11">
        <f t="shared" si="64"/>
        <v>2044</v>
      </c>
      <c r="V60" s="11">
        <f t="shared" si="64"/>
        <v>2045</v>
      </c>
      <c r="W60" s="11">
        <f t="shared" si="64"/>
        <v>2046</v>
      </c>
      <c r="X60" s="11">
        <f t="shared" si="64"/>
        <v>2047</v>
      </c>
      <c r="Y60" s="11">
        <f t="shared" si="64"/>
        <v>2048</v>
      </c>
      <c r="Z60" s="11">
        <f t="shared" si="64"/>
        <v>2049</v>
      </c>
      <c r="AA60" s="11">
        <f t="shared" si="64"/>
        <v>2050</v>
      </c>
      <c r="AB60" s="11">
        <f t="shared" si="64"/>
        <v>2051</v>
      </c>
      <c r="AC60" s="11">
        <f t="shared" si="64"/>
        <v>2052</v>
      </c>
      <c r="AD60" s="11">
        <f t="shared" si="64"/>
        <v>2053</v>
      </c>
      <c r="AE60" s="11">
        <f t="shared" si="64"/>
        <v>2054</v>
      </c>
      <c r="AF60" s="11">
        <f t="shared" si="64"/>
        <v>2055</v>
      </c>
      <c r="AG60" s="11">
        <f t="shared" si="64"/>
        <v>2056</v>
      </c>
      <c r="AH60" s="11">
        <f t="shared" si="64"/>
        <v>2057</v>
      </c>
      <c r="AI60" s="11">
        <f t="shared" si="64"/>
        <v>2058</v>
      </c>
      <c r="AJ60" s="11">
        <f t="shared" si="64"/>
        <v>2059</v>
      </c>
      <c r="AK60" s="11">
        <f t="shared" si="64"/>
        <v>2060</v>
      </c>
      <c r="AL60" s="11">
        <f t="shared" si="64"/>
        <v>2061</v>
      </c>
      <c r="AM60" s="11">
        <f t="shared" si="64"/>
        <v>2062</v>
      </c>
      <c r="AN60" s="11">
        <f t="shared" si="64"/>
        <v>2063</v>
      </c>
      <c r="AO60" s="11">
        <f t="shared" si="64"/>
        <v>2064</v>
      </c>
      <c r="AP60" s="11">
        <f t="shared" si="64"/>
        <v>2065</v>
      </c>
    </row>
    <row r="61" spans="1:42" customFormat="1" x14ac:dyDescent="0.25">
      <c r="A61" t="s">
        <v>258</v>
      </c>
      <c r="B61" s="1">
        <f>IF((B$60+30)-($B$60+$A$5)&gt;0,((($B$60+$A$5)-B$60)/40)*Projektspecifikt!B25,0)</f>
        <v>0</v>
      </c>
      <c r="C61" s="1">
        <f>IF((C$60+30)-($B$60+$A$5)&gt;0,((($B$60+$A$5)-C$60)/40)*Projektspecifikt!C25,0)</f>
        <v>0</v>
      </c>
      <c r="D61" s="1">
        <f>IF((D$60+30)-($B$60+$A$5)&gt;0,((($B$60+$A$5)-D$60)/40)*Projektspecifikt!D25,0)</f>
        <v>0</v>
      </c>
      <c r="E61" s="1">
        <f>IF((E$60+30)-($B$60+$A$5)&gt;0,((($B$60+$A$5)-E$60)/40)*Projektspecifikt!E25,0)</f>
        <v>0</v>
      </c>
      <c r="F61" s="1">
        <f>IF((F$60+30)-($B$60+$A$5)&gt;0,((($B$60+$A$5)-F$60)/40)*Projektspecifikt!F25,0)</f>
        <v>0</v>
      </c>
      <c r="G61" s="1">
        <f>IF((G$60+30)-($B$60+$A$5)&gt;0,((($B$60+$A$5)-G$60)/40)*Projektspecifikt!G25,0)</f>
        <v>0</v>
      </c>
      <c r="H61" s="1">
        <f>IF((H$60+30)-($B$60+$A$5)&gt;0,((($B$60+$A$5)-H$60)/40)*Projektspecifikt!H25,0)</f>
        <v>0</v>
      </c>
      <c r="I61" s="1">
        <f>IF((I$60+30)-($B$60+$A$5)&gt;0,((($B$60+$A$5)-I$60)/40)*Projektspecifikt!I25,0)</f>
        <v>0</v>
      </c>
      <c r="J61" s="1">
        <f>IF((J$60+30)-($B$60+$A$5)&gt;0,((($B$60+$A$5)-J$60)/40)*Projektspecifikt!J25,0)</f>
        <v>0</v>
      </c>
      <c r="K61" s="1">
        <f>IF((K$60+30)-($B$60+$A$5)&gt;0,((($B$60+$A$5)-K$60)/40)*Projektspecifikt!K25,0)</f>
        <v>0</v>
      </c>
      <c r="L61" s="1">
        <f>IF((L$60+30)-($B$60+$A$5)&gt;0,((($B$60+$A$5)-L$60)/40)*Projektspecifikt!L25,0)</f>
        <v>0</v>
      </c>
      <c r="M61" s="1">
        <f>IF((M$60+30)-($B$60+$A$5)&gt;0,((($B$60+$A$5)-M$60)/40)*Projektspecifikt!M25,0)</f>
        <v>0</v>
      </c>
      <c r="N61" s="1">
        <f>IF((N$60+30)-($B$60+$A$5)&gt;0,((($B$60+$A$5)-N$60)/40)*Projektspecifikt!N25,0)</f>
        <v>0</v>
      </c>
      <c r="O61" s="1">
        <f>IF((O$60+30)-($B$60+$A$5)&gt;0,((($B$60+$A$5)-O$60)/40)*Projektspecifikt!O25,0)</f>
        <v>0</v>
      </c>
      <c r="P61" s="1">
        <f>IF((P$60+30)-($B$60+$A$5)&gt;0,((($B$60+$A$5)-P$60)/40)*Projektspecifikt!P25,0)</f>
        <v>0</v>
      </c>
      <c r="Q61" s="1">
        <f>IF((Q$60+30)-($B$60+$A$5)&gt;0,((($B$60+$A$5)-Q$60)/40)*Projektspecifikt!Q25,0)</f>
        <v>0</v>
      </c>
      <c r="R61" s="1">
        <f>IF((R$60+30)-($B$60+$A$5)&gt;0,((($B$60+$A$5)-R$60)/40)*Projektspecifikt!R25,0)</f>
        <v>0</v>
      </c>
      <c r="S61" s="1">
        <f>IF((S$60+30)-($B$60+$A$5)&gt;0,((($B$60+$A$5)-S$60)/40)*Projektspecifikt!S25,0)</f>
        <v>0</v>
      </c>
      <c r="T61" s="1">
        <f>IF((T$60+30)-($B$60+$A$5)&gt;0,((($B$60+$A$5)-T$60)/40)*Projektspecifikt!T25,0)</f>
        <v>0</v>
      </c>
      <c r="U61" s="1">
        <f>IF((U$60+30)-($B$60+$A$5)&gt;0,((($B$60+$A$5)-U$60)/40)*Projektspecifikt!U25,0)</f>
        <v>0</v>
      </c>
      <c r="V61" s="1">
        <f>IF((V$60+30)-($B$60+$A$5)&gt;0,((($B$60+$A$5)-V$60)/40)*Projektspecifikt!V25,0)</f>
        <v>0</v>
      </c>
      <c r="W61" s="1">
        <f>IF((W$60+30)-($B$60+$A$5)&gt;0,((($B$60+$A$5)-W$60)/40)*Projektspecifikt!W25,0)</f>
        <v>0</v>
      </c>
      <c r="X61" s="1">
        <f>IF((X$60+30)-($B$60+$A$5)&gt;0,((($B$60+$A$5)-X$60)/40)*Projektspecifikt!X25,0)</f>
        <v>0</v>
      </c>
      <c r="Y61" s="1">
        <f>IF((Y$60+30)-($B$60+$A$5)&gt;0,((($B$60+$A$5)-Y$60)/40)*Projektspecifikt!Y25,0)</f>
        <v>0</v>
      </c>
      <c r="Z61" s="1">
        <f>IF((Z$60+30)-($B$60+$A$5)&gt;0,((($B$60+$A$5)-Z$60)/40)*Projektspecifikt!Z25,0)</f>
        <v>0</v>
      </c>
      <c r="AA61" s="1">
        <f>IF((AA$60+30)-($B$60+$A$5)&gt;0,((($B$60+$A$5)-AA$60)/40)*Projektspecifikt!AA25,0)</f>
        <v>0</v>
      </c>
      <c r="AB61" s="1">
        <f>IF((AB$60+30)-($B$60+$A$5)&gt;0,((($B$60+$A$5)-AB$60)/40)*Projektspecifikt!AB25,0)</f>
        <v>0</v>
      </c>
      <c r="AC61" s="1">
        <f>IF((AC$60+30)-($B$60+$A$5)&gt;0,((($B$60+$A$5)-AC$60)/40)*Projektspecifikt!AC25,0)</f>
        <v>0</v>
      </c>
      <c r="AD61" s="1">
        <f>IF((AD$60+30)-($B$60+$A$5)&gt;0,((($B$60+$A$5)-AD$60)/40)*Projektspecifikt!AD25,0)</f>
        <v>0</v>
      </c>
      <c r="AE61" s="1">
        <f>IF((AE$60+30)-($B$60+$A$5)&gt;0,((($B$60+$A$5)-AE$60)/40)*Projektspecifikt!AE25,0)</f>
        <v>0</v>
      </c>
      <c r="AF61" s="1">
        <f>IF((AF$60+30)-($B$60+$A$5)&gt;0,((($B$60+$A$5)-AF$60)/40)*Projektspecifikt!AF25,0)</f>
        <v>0</v>
      </c>
      <c r="AG61" s="1">
        <f>IF((AG$60+30)-($B$60+$A$5)&gt;0,((($B$60+$A$5)-AG$60)/40)*Projektspecifikt!AG25,0)</f>
        <v>0</v>
      </c>
      <c r="AH61" s="1">
        <f>IF((AH$60+30)-($B$60+$A$5)&gt;0,((($B$60+$A$5)-AH$60)/40)*Projektspecifikt!AH25,0)</f>
        <v>0</v>
      </c>
      <c r="AI61" s="1">
        <f>IF((AI$60+30)-($B$60+$A$5)&gt;0,((($B$60+$A$5)-AI$60)/40)*Projektspecifikt!AI25,0)</f>
        <v>0</v>
      </c>
      <c r="AJ61" s="1">
        <f>IF((AJ$60+30)-($B$60+$A$5)&gt;0,((($B$60+$A$5)-AJ$60)/40)*Projektspecifikt!AJ25,0)</f>
        <v>0</v>
      </c>
      <c r="AK61" s="1">
        <f>IF((AK$60+30)-($B$60+$A$5)&gt;0,((($B$60+$A$5)-AK$60)/40)*Projektspecifikt!AK25,0)</f>
        <v>0</v>
      </c>
      <c r="AL61" s="1">
        <f>IF((AL$60+30)-($B$60+$A$5)&gt;0,((($B$60+$A$5)-AL$60)/40)*Projektspecifikt!AL25,0)</f>
        <v>0</v>
      </c>
      <c r="AM61" s="1">
        <f>IF((AM$60+30)-($B$60+$A$5)&gt;0,((($B$60+$A$5)-AM$60)/40)*Projektspecifikt!AM25,0)</f>
        <v>0</v>
      </c>
      <c r="AN61" s="1">
        <f>IF((AN$60+30)-($B$60+$A$5)&gt;0,((($B$60+$A$5)-AN$60)/40)*Projektspecifikt!AN25,0)</f>
        <v>0</v>
      </c>
      <c r="AO61" s="1">
        <f>IF((AO$60+30)-($B$60+$A$5)&gt;0,((($B$60+$A$5)-AO$60)/40)*Projektspecifikt!AO25,0)</f>
        <v>0</v>
      </c>
      <c r="AP61" s="1">
        <f>IF((AP$60+30)-($B$60+$A$5)&gt;0,((($B$60+$A$5)-AP$60)/40)*Projektspecifikt!AP25,0)</f>
        <v>0</v>
      </c>
    </row>
    <row r="62" spans="1:42" customFormat="1" x14ac:dyDescent="0.25">
      <c r="A62" t="s">
        <v>259</v>
      </c>
      <c r="B62" s="1">
        <f>IF((B$60+30)-($B$60+$A$5)&gt;0,((($B$60+$A$5)-B$60)/40)*Projektspecifikt!B27,0)</f>
        <v>0</v>
      </c>
      <c r="C62" s="1">
        <f>IF((C$60+30)-($B$60+$A$5)&gt;0,((($B$60+$A$5)-C$60)/40)*Projektspecifikt!C27,0)</f>
        <v>0</v>
      </c>
      <c r="D62" s="1">
        <f>IF((D$60+30)-($B$60+$A$5)&gt;0,((($B$60+$A$5)-D$60)/40)*Projektspecifikt!D27,0)</f>
        <v>0</v>
      </c>
      <c r="E62" s="1">
        <f>IF((E$60+30)-($B$60+$A$5)&gt;0,((($B$60+$A$5)-E$60)/40)*Projektspecifikt!E27,0)</f>
        <v>0</v>
      </c>
      <c r="F62" s="1">
        <f>IF((F$60+30)-($B$60+$A$5)&gt;0,((($B$60+$A$5)-F$60)/40)*Projektspecifikt!F27,0)</f>
        <v>0</v>
      </c>
      <c r="G62" s="1">
        <f>IF((G$60+30)-($B$60+$A$5)&gt;0,((($B$60+$A$5)-G$60)/40)*Projektspecifikt!G27,0)</f>
        <v>0</v>
      </c>
      <c r="H62" s="1">
        <f>IF((H$60+30)-($B$60+$A$5)&gt;0,((($B$60+$A$5)-H$60)/40)*Projektspecifikt!H27,0)</f>
        <v>0</v>
      </c>
      <c r="I62" s="1">
        <f>IF((I$60+30)-($B$60+$A$5)&gt;0,((($B$60+$A$5)-I$60)/40)*Projektspecifikt!I27,0)</f>
        <v>0</v>
      </c>
      <c r="J62" s="1">
        <f>IF((J$60+30)-($B$60+$A$5)&gt;0,((($B$60+$A$5)-J$60)/40)*Projektspecifikt!J27,0)</f>
        <v>0</v>
      </c>
      <c r="K62" s="1">
        <f>IF((K$60+30)-($B$60+$A$5)&gt;0,((($B$60+$A$5)-K$60)/40)*Projektspecifikt!K27,0)</f>
        <v>0</v>
      </c>
      <c r="L62" s="1">
        <f>IF((L$60+30)-($B$60+$A$5)&gt;0,((($B$60+$A$5)-L$60)/40)*Projektspecifikt!L27,0)</f>
        <v>0</v>
      </c>
      <c r="M62" s="1">
        <f>IF((M$60+30)-($B$60+$A$5)&gt;0,((($B$60+$A$5)-M$60)/40)*Projektspecifikt!M27,0)</f>
        <v>0</v>
      </c>
      <c r="N62" s="1">
        <f>IF((N$60+30)-($B$60+$A$5)&gt;0,((($B$60+$A$5)-N$60)/40)*Projektspecifikt!N27,0)</f>
        <v>0</v>
      </c>
      <c r="O62" s="1">
        <f>IF((O$60+30)-($B$60+$A$5)&gt;0,((($B$60+$A$5)-O$60)/40)*Projektspecifikt!O27,0)</f>
        <v>0</v>
      </c>
      <c r="P62" s="1">
        <f>IF((P$60+30)-($B$60+$A$5)&gt;0,((($B$60+$A$5)-P$60)/40)*Projektspecifikt!P27,0)</f>
        <v>0</v>
      </c>
      <c r="Q62" s="1">
        <f>IF((Q$60+30)-($B$60+$A$5)&gt;0,((($B$60+$A$5)-Q$60)/40)*Projektspecifikt!Q27,0)</f>
        <v>0</v>
      </c>
      <c r="R62" s="1">
        <f>IF((R$60+30)-($B$60+$A$5)&gt;0,((($B$60+$A$5)-R$60)/40)*Projektspecifikt!R27,0)</f>
        <v>0</v>
      </c>
      <c r="S62" s="1">
        <f>IF((S$60+30)-($B$60+$A$5)&gt;0,((($B$60+$A$5)-S$60)/40)*Projektspecifikt!S27,0)</f>
        <v>0</v>
      </c>
      <c r="T62" s="1">
        <f>IF((T$60+30)-($B$60+$A$5)&gt;0,((($B$60+$A$5)-T$60)/40)*Projektspecifikt!T27,0)</f>
        <v>0</v>
      </c>
      <c r="U62" s="1">
        <f>IF((U$60+30)-($B$60+$A$5)&gt;0,((($B$60+$A$5)-U$60)/40)*Projektspecifikt!U27,0)</f>
        <v>0</v>
      </c>
      <c r="V62" s="1">
        <f>IF((V$60+30)-($B$60+$A$5)&gt;0,((($B$60+$A$5)-V$60)/40)*Projektspecifikt!V27,0)</f>
        <v>0</v>
      </c>
      <c r="W62" s="1">
        <f>IF((W$60+30)-($B$60+$A$5)&gt;0,((($B$60+$A$5)-W$60)/40)*Projektspecifikt!W27,0)</f>
        <v>0</v>
      </c>
      <c r="X62" s="1">
        <f>IF((X$60+30)-($B$60+$A$5)&gt;0,((($B$60+$A$5)-X$60)/40)*Projektspecifikt!X27,0)</f>
        <v>0</v>
      </c>
      <c r="Y62" s="1">
        <f>IF((Y$60+30)-($B$60+$A$5)&gt;0,((($B$60+$A$5)-Y$60)/40)*Projektspecifikt!Y27,0)</f>
        <v>0</v>
      </c>
      <c r="Z62" s="1">
        <f>IF((Z$60+30)-($B$60+$A$5)&gt;0,((($B$60+$A$5)-Z$60)/40)*Projektspecifikt!Z27,0)</f>
        <v>0</v>
      </c>
      <c r="AA62" s="1">
        <f>IF((AA$60+30)-($B$60+$A$5)&gt;0,((($B$60+$A$5)-AA$60)/40)*Projektspecifikt!AA27,0)</f>
        <v>0</v>
      </c>
      <c r="AB62" s="1">
        <f>IF((AB$60+30)-($B$60+$A$5)&gt;0,((($B$60+$A$5)-AB$60)/40)*Projektspecifikt!AB27,0)</f>
        <v>0</v>
      </c>
      <c r="AC62" s="1">
        <f>IF((AC$60+30)-($B$60+$A$5)&gt;0,((($B$60+$A$5)-AC$60)/40)*Projektspecifikt!AC27,0)</f>
        <v>0</v>
      </c>
      <c r="AD62" s="1">
        <f>IF((AD$60+30)-($B$60+$A$5)&gt;0,((($B$60+$A$5)-AD$60)/40)*Projektspecifikt!AD27,0)</f>
        <v>0</v>
      </c>
      <c r="AE62" s="1">
        <f>IF((AE$60+30)-($B$60+$A$5)&gt;0,((($B$60+$A$5)-AE$60)/40)*Projektspecifikt!AE27,0)</f>
        <v>0</v>
      </c>
      <c r="AF62" s="1">
        <f>IF((AF$60+30)-($B$60+$A$5)&gt;0,((($B$60+$A$5)-AF$60)/40)*Projektspecifikt!AF27,0)</f>
        <v>0</v>
      </c>
      <c r="AG62" s="1">
        <f>IF((AG$60+30)-($B$60+$A$5)&gt;0,((($B$60+$A$5)-AG$60)/40)*Projektspecifikt!AG27,0)</f>
        <v>0</v>
      </c>
      <c r="AH62" s="1">
        <f>IF((AH$60+30)-($B$60+$A$5)&gt;0,((($B$60+$A$5)-AH$60)/40)*Projektspecifikt!AH27,0)</f>
        <v>0</v>
      </c>
      <c r="AI62" s="1">
        <f>IF((AI$60+30)-($B$60+$A$5)&gt;0,((($B$60+$A$5)-AI$60)/40)*Projektspecifikt!AI27,0)</f>
        <v>0</v>
      </c>
      <c r="AJ62" s="1">
        <f>IF((AJ$60+30)-($B$60+$A$5)&gt;0,((($B$60+$A$5)-AJ$60)/40)*Projektspecifikt!AJ27,0)</f>
        <v>0</v>
      </c>
      <c r="AK62" s="1">
        <f>IF((AK$60+30)-($B$60+$A$5)&gt;0,((($B$60+$A$5)-AK$60)/40)*Projektspecifikt!AK27,0)</f>
        <v>0</v>
      </c>
      <c r="AL62" s="1">
        <f>IF((AL$60+30)-($B$60+$A$5)&gt;0,((($B$60+$A$5)-AL$60)/40)*Projektspecifikt!AL27,0)</f>
        <v>0</v>
      </c>
      <c r="AM62" s="1">
        <f>IF((AM$60+30)-($B$60+$A$5)&gt;0,((($B$60+$A$5)-AM$60)/40)*Projektspecifikt!AM27,0)</f>
        <v>0</v>
      </c>
      <c r="AN62" s="1">
        <f>IF((AN$60+30)-($B$60+$A$5)&gt;0,((($B$60+$A$5)-AN$60)/40)*Projektspecifikt!AN27,0)</f>
        <v>0</v>
      </c>
      <c r="AO62" s="1">
        <f>IF((AO$60+30)-($B$60+$A$5)&gt;0,((($B$60+$A$5)-AO$60)/40)*Projektspecifikt!AO27,0)</f>
        <v>0</v>
      </c>
      <c r="AP62" s="1">
        <f>IF((AP$60+30)-($B$60+$A$5)&gt;0,((($B$60+$A$5)-AP$60)/40)*Projektspecifikt!AP27,0)</f>
        <v>0</v>
      </c>
    </row>
    <row r="63" spans="1:42" customFormat="1" x14ac:dyDescent="0.25">
      <c r="A63" t="s">
        <v>260</v>
      </c>
      <c r="B63" s="1">
        <f>IF((B$60+30)-($B$60+$A$5)&gt;0,((($B$60+$A$5)-B$60)/40)*Projektspecifikt!B29,0)</f>
        <v>0</v>
      </c>
      <c r="C63" s="1">
        <f>IF((C$60+30)-($B$60+$A$5)&gt;0,((($B$60+$A$5)-C$60)/40)*Projektspecifikt!C29,0)</f>
        <v>0</v>
      </c>
      <c r="D63" s="1">
        <f>IF((D$60+30)-($B$60+$A$5)&gt;0,((($B$60+$A$5)-D$60)/40)*Projektspecifikt!D29,0)</f>
        <v>0</v>
      </c>
      <c r="E63" s="1">
        <f>IF((E$60+30)-($B$60+$A$5)&gt;0,((($B$60+$A$5)-E$60)/40)*Projektspecifikt!E29,0)</f>
        <v>0</v>
      </c>
      <c r="F63" s="1">
        <f>IF((F$60+30)-($B$60+$A$5)&gt;0,((($B$60+$A$5)-F$60)/40)*Projektspecifikt!F29,0)</f>
        <v>0</v>
      </c>
      <c r="G63" s="1">
        <f>IF((G$60+30)-($B$60+$A$5)&gt;0,((($B$60+$A$5)-G$60)/40)*Projektspecifikt!G29,0)</f>
        <v>0</v>
      </c>
      <c r="H63" s="1">
        <f>IF((H$60+30)-($B$60+$A$5)&gt;0,((($B$60+$A$5)-H$60)/40)*Projektspecifikt!H29,0)</f>
        <v>0</v>
      </c>
      <c r="I63" s="1">
        <f>IF((I$60+30)-($B$60+$A$5)&gt;0,((($B$60+$A$5)-I$60)/40)*Projektspecifikt!I29,0)</f>
        <v>0</v>
      </c>
      <c r="J63" s="1">
        <f>IF((J$60+30)-($B$60+$A$5)&gt;0,((($B$60+$A$5)-J$60)/40)*Projektspecifikt!J29,0)</f>
        <v>0</v>
      </c>
      <c r="K63" s="1">
        <f>IF((K$60+30)-($B$60+$A$5)&gt;0,((($B$60+$A$5)-K$60)/40)*Projektspecifikt!K29,0)</f>
        <v>0</v>
      </c>
      <c r="L63" s="1">
        <f>IF((L$60+30)-($B$60+$A$5)&gt;0,((($B$60+$A$5)-L$60)/40)*Projektspecifikt!L29,0)</f>
        <v>0</v>
      </c>
      <c r="M63" s="1">
        <f>IF((M$60+30)-($B$60+$A$5)&gt;0,((($B$60+$A$5)-M$60)/40)*Projektspecifikt!M29,0)</f>
        <v>0</v>
      </c>
      <c r="N63" s="1">
        <f>IF((N$60+30)-($B$60+$A$5)&gt;0,((($B$60+$A$5)-N$60)/40)*Projektspecifikt!N29,0)</f>
        <v>0</v>
      </c>
      <c r="O63" s="1">
        <f>IF((O$60+30)-($B$60+$A$5)&gt;0,((($B$60+$A$5)-O$60)/40)*Projektspecifikt!O29,0)</f>
        <v>0</v>
      </c>
      <c r="P63" s="1">
        <f>IF((P$60+30)-($B$60+$A$5)&gt;0,((($B$60+$A$5)-P$60)/40)*Projektspecifikt!P29,0)</f>
        <v>0</v>
      </c>
      <c r="Q63" s="1">
        <f>IF((Q$60+30)-($B$60+$A$5)&gt;0,((($B$60+$A$5)-Q$60)/40)*Projektspecifikt!Q29,0)</f>
        <v>0</v>
      </c>
      <c r="R63" s="1">
        <f>IF((R$60+30)-($B$60+$A$5)&gt;0,((($B$60+$A$5)-R$60)/40)*Projektspecifikt!R29,0)</f>
        <v>0</v>
      </c>
      <c r="S63" s="1">
        <f>IF((S$60+30)-($B$60+$A$5)&gt;0,((($B$60+$A$5)-S$60)/40)*Projektspecifikt!S29,0)</f>
        <v>0</v>
      </c>
      <c r="T63" s="1">
        <f>IF((T$60+30)-($B$60+$A$5)&gt;0,((($B$60+$A$5)-T$60)/40)*Projektspecifikt!T29,0)</f>
        <v>0</v>
      </c>
      <c r="U63" s="1">
        <f>IF((U$60+30)-($B$60+$A$5)&gt;0,((($B$60+$A$5)-U$60)/40)*Projektspecifikt!U29,0)</f>
        <v>0</v>
      </c>
      <c r="V63" s="1">
        <f>IF((V$60+30)-($B$60+$A$5)&gt;0,((($B$60+$A$5)-V$60)/40)*Projektspecifikt!V29,0)</f>
        <v>0</v>
      </c>
      <c r="W63" s="1">
        <f>IF((W$60+30)-($B$60+$A$5)&gt;0,((($B$60+$A$5)-W$60)/40)*Projektspecifikt!W29,0)</f>
        <v>0</v>
      </c>
      <c r="X63" s="1">
        <f>IF((X$60+30)-($B$60+$A$5)&gt;0,((($B$60+$A$5)-X$60)/40)*Projektspecifikt!X29,0)</f>
        <v>0</v>
      </c>
      <c r="Y63" s="1">
        <f>IF((Y$60+30)-($B$60+$A$5)&gt;0,((($B$60+$A$5)-Y$60)/40)*Projektspecifikt!Y29,0)</f>
        <v>0</v>
      </c>
      <c r="Z63" s="1">
        <f>IF((Z$60+30)-($B$60+$A$5)&gt;0,((($B$60+$A$5)-Z$60)/40)*Projektspecifikt!Z29,0)</f>
        <v>0</v>
      </c>
      <c r="AA63" s="1">
        <f>IF((AA$60+30)-($B$60+$A$5)&gt;0,((($B$60+$A$5)-AA$60)/40)*Projektspecifikt!AA29,0)</f>
        <v>0</v>
      </c>
      <c r="AB63" s="1">
        <f>IF((AB$60+30)-($B$60+$A$5)&gt;0,((($B$60+$A$5)-AB$60)/40)*Projektspecifikt!AB29,0)</f>
        <v>0</v>
      </c>
      <c r="AC63" s="1">
        <f>IF((AC$60+30)-($B$60+$A$5)&gt;0,((($B$60+$A$5)-AC$60)/40)*Projektspecifikt!AC29,0)</f>
        <v>0</v>
      </c>
      <c r="AD63" s="1">
        <f>IF((AD$60+30)-($B$60+$A$5)&gt;0,((($B$60+$A$5)-AD$60)/40)*Projektspecifikt!AD29,0)</f>
        <v>0</v>
      </c>
      <c r="AE63" s="1">
        <f>IF((AE$60+30)-($B$60+$A$5)&gt;0,((($B$60+$A$5)-AE$60)/40)*Projektspecifikt!AE29,0)</f>
        <v>0</v>
      </c>
      <c r="AF63" s="1">
        <f>IF((AF$60+30)-($B$60+$A$5)&gt;0,((($B$60+$A$5)-AF$60)/40)*Projektspecifikt!AF29,0)</f>
        <v>0</v>
      </c>
      <c r="AG63" s="1">
        <f>IF((AG$60+30)-($B$60+$A$5)&gt;0,((($B$60+$A$5)-AG$60)/40)*Projektspecifikt!AG29,0)</f>
        <v>0</v>
      </c>
      <c r="AH63" s="1">
        <f>IF((AH$60+30)-($B$60+$A$5)&gt;0,((($B$60+$A$5)-AH$60)/40)*Projektspecifikt!AH29,0)</f>
        <v>0</v>
      </c>
      <c r="AI63" s="1">
        <f>IF((AI$60+30)-($B$60+$A$5)&gt;0,((($B$60+$A$5)-AI$60)/40)*Projektspecifikt!AI29,0)</f>
        <v>0</v>
      </c>
      <c r="AJ63" s="1">
        <f>IF((AJ$60+30)-($B$60+$A$5)&gt;0,((($B$60+$A$5)-AJ$60)/40)*Projektspecifikt!AJ29,0)</f>
        <v>0</v>
      </c>
      <c r="AK63" s="1">
        <f>IF((AK$60+30)-($B$60+$A$5)&gt;0,((($B$60+$A$5)-AK$60)/40)*Projektspecifikt!AK29,0)</f>
        <v>0</v>
      </c>
      <c r="AL63" s="1">
        <f>IF((AL$60+30)-($B$60+$A$5)&gt;0,((($B$60+$A$5)-AL$60)/40)*Projektspecifikt!AL29,0)</f>
        <v>0</v>
      </c>
      <c r="AM63" s="1">
        <f>IF((AM$60+30)-($B$60+$A$5)&gt;0,((($B$60+$A$5)-AM$60)/40)*Projektspecifikt!AM29,0)</f>
        <v>0</v>
      </c>
      <c r="AN63" s="1">
        <f>IF((AN$60+30)-($B$60+$A$5)&gt;0,((($B$60+$A$5)-AN$60)/40)*Projektspecifikt!AN29,0)</f>
        <v>0</v>
      </c>
      <c r="AO63" s="1">
        <f>IF((AO$60+30)-($B$60+$A$5)&gt;0,((($B$60+$A$5)-AO$60)/40)*Projektspecifikt!AO29,0)</f>
        <v>0</v>
      </c>
      <c r="AP63" s="1">
        <f>IF((AP$60+30)-($B$60+$A$5)&gt;0,((($B$60+$A$5)-AP$60)/40)*Projektspecifikt!AP29,0)</f>
        <v>0</v>
      </c>
    </row>
    <row r="64" spans="1:42" customForma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108" customFormat="1" ht="15.75" x14ac:dyDescent="0.25">
      <c r="A65" s="10" t="s">
        <v>261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108" s="674" customFormat="1" x14ac:dyDescent="0.25">
      <c r="A66" s="672" t="s">
        <v>262</v>
      </c>
      <c r="B66" s="673"/>
      <c r="C66" s="673"/>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row>
    <row r="67" spans="1:108" s="11" customFormat="1" x14ac:dyDescent="0.25">
      <c r="A67" s="18" t="s">
        <v>207</v>
      </c>
      <c r="B67" s="22">
        <v>2025</v>
      </c>
      <c r="C67" s="11">
        <f>B67+1</f>
        <v>2026</v>
      </c>
      <c r="D67" s="11">
        <f t="shared" ref="D67:AP67" si="65">C67+1</f>
        <v>2027</v>
      </c>
      <c r="E67" s="11">
        <f t="shared" si="65"/>
        <v>2028</v>
      </c>
      <c r="F67" s="11">
        <f t="shared" si="65"/>
        <v>2029</v>
      </c>
      <c r="G67" s="11">
        <f t="shared" si="65"/>
        <v>2030</v>
      </c>
      <c r="H67" s="11">
        <f t="shared" si="65"/>
        <v>2031</v>
      </c>
      <c r="I67" s="11">
        <f t="shared" si="65"/>
        <v>2032</v>
      </c>
      <c r="J67" s="11">
        <f t="shared" si="65"/>
        <v>2033</v>
      </c>
      <c r="K67" s="11">
        <f t="shared" si="65"/>
        <v>2034</v>
      </c>
      <c r="L67" s="11">
        <f t="shared" si="65"/>
        <v>2035</v>
      </c>
      <c r="M67" s="11">
        <f t="shared" si="65"/>
        <v>2036</v>
      </c>
      <c r="N67" s="11">
        <f t="shared" si="65"/>
        <v>2037</v>
      </c>
      <c r="O67" s="11">
        <f t="shared" si="65"/>
        <v>2038</v>
      </c>
      <c r="P67" s="11">
        <f t="shared" si="65"/>
        <v>2039</v>
      </c>
      <c r="Q67" s="11">
        <f t="shared" si="65"/>
        <v>2040</v>
      </c>
      <c r="R67" s="11">
        <f t="shared" si="65"/>
        <v>2041</v>
      </c>
      <c r="S67" s="11">
        <f t="shared" si="65"/>
        <v>2042</v>
      </c>
      <c r="T67" s="11">
        <f t="shared" si="65"/>
        <v>2043</v>
      </c>
      <c r="U67" s="11">
        <f t="shared" si="65"/>
        <v>2044</v>
      </c>
      <c r="V67" s="11">
        <f t="shared" si="65"/>
        <v>2045</v>
      </c>
      <c r="W67" s="11">
        <f t="shared" si="65"/>
        <v>2046</v>
      </c>
      <c r="X67" s="11">
        <f t="shared" si="65"/>
        <v>2047</v>
      </c>
      <c r="Y67" s="11">
        <f t="shared" si="65"/>
        <v>2048</v>
      </c>
      <c r="Z67" s="11">
        <f t="shared" si="65"/>
        <v>2049</v>
      </c>
      <c r="AA67" s="11">
        <f t="shared" si="65"/>
        <v>2050</v>
      </c>
      <c r="AB67" s="11">
        <f t="shared" si="65"/>
        <v>2051</v>
      </c>
      <c r="AC67" s="11">
        <f t="shared" si="65"/>
        <v>2052</v>
      </c>
      <c r="AD67" s="11">
        <f t="shared" si="65"/>
        <v>2053</v>
      </c>
      <c r="AE67" s="11">
        <f t="shared" si="65"/>
        <v>2054</v>
      </c>
      <c r="AF67" s="11">
        <f t="shared" si="65"/>
        <v>2055</v>
      </c>
      <c r="AG67" s="11">
        <f t="shared" si="65"/>
        <v>2056</v>
      </c>
      <c r="AH67" s="11">
        <f t="shared" si="65"/>
        <v>2057</v>
      </c>
      <c r="AI67" s="11">
        <f t="shared" si="65"/>
        <v>2058</v>
      </c>
      <c r="AJ67" s="11">
        <f t="shared" si="65"/>
        <v>2059</v>
      </c>
      <c r="AK67" s="11">
        <f t="shared" si="65"/>
        <v>2060</v>
      </c>
      <c r="AL67" s="11">
        <f t="shared" si="65"/>
        <v>2061</v>
      </c>
      <c r="AM67" s="11">
        <f t="shared" si="65"/>
        <v>2062</v>
      </c>
      <c r="AN67" s="11">
        <f t="shared" si="65"/>
        <v>2063</v>
      </c>
      <c r="AO67" s="11">
        <f t="shared" si="65"/>
        <v>2064</v>
      </c>
      <c r="AP67" s="11">
        <f t="shared" si="65"/>
        <v>2065</v>
      </c>
    </row>
    <row r="68" spans="1:108" customFormat="1" x14ac:dyDescent="0.25">
      <c r="A68" t="s">
        <v>254</v>
      </c>
      <c r="B68" s="37">
        <f t="shared" ref="B68:AP68" si="66">IF(B16&lt;=$A$5,(B53-(B$61-B62))*B$74,0)</f>
        <v>13.5</v>
      </c>
      <c r="C68" s="37">
        <f t="shared" si="66"/>
        <v>4.3478260869565224</v>
      </c>
      <c r="D68" s="37">
        <f t="shared" si="66"/>
        <v>12.602394454946442</v>
      </c>
      <c r="E68" s="37">
        <f t="shared" si="66"/>
        <v>4.9606848811741227</v>
      </c>
      <c r="F68" s="37">
        <f t="shared" si="66"/>
        <v>3.9214900246435755</v>
      </c>
      <c r="G68" s="37">
        <f t="shared" si="66"/>
        <v>2.9469060840048344</v>
      </c>
      <c r="H68" s="37">
        <f t="shared" si="66"/>
        <v>2.8472522550771351</v>
      </c>
      <c r="I68" s="37">
        <f t="shared" si="66"/>
        <v>10.610877969231561</v>
      </c>
      <c r="J68" s="37">
        <f t="shared" si="66"/>
        <v>2.6579404467568768</v>
      </c>
      <c r="K68" s="37">
        <f t="shared" si="66"/>
        <v>2.5680584026636497</v>
      </c>
      <c r="L68" s="37">
        <f t="shared" si="66"/>
        <v>-68.410665522993014</v>
      </c>
      <c r="M68" s="37">
        <f t="shared" si="66"/>
        <v>2.39730999805237</v>
      </c>
      <c r="N68" s="37">
        <f t="shared" si="66"/>
        <v>2.3162415440119517</v>
      </c>
      <c r="O68" s="37">
        <f t="shared" si="66"/>
        <v>66.178329828912908</v>
      </c>
      <c r="P68" s="37">
        <f t="shared" si="66"/>
        <v>2.1622362659683563</v>
      </c>
      <c r="Q68" s="37">
        <f t="shared" si="66"/>
        <v>2.0891171651868179</v>
      </c>
      <c r="R68" s="37">
        <f t="shared" si="66"/>
        <v>2.0184706910017565</v>
      </c>
      <c r="S68" s="37">
        <f t="shared" si="66"/>
        <v>1.9502132280210207</v>
      </c>
      <c r="T68" s="37">
        <f t="shared" si="66"/>
        <v>1.8842639884261074</v>
      </c>
      <c r="U68" s="37">
        <f t="shared" si="66"/>
        <v>1.8205449163537268</v>
      </c>
      <c r="V68" s="37">
        <f t="shared" si="66"/>
        <v>1.7589805955108475</v>
      </c>
      <c r="W68" s="37">
        <f t="shared" si="66"/>
        <v>1.6994981599138623</v>
      </c>
      <c r="X68" s="37">
        <f t="shared" si="66"/>
        <v>1.6420272076462443</v>
      </c>
      <c r="Y68" s="37">
        <f t="shared" si="66"/>
        <v>1.5864997175326032</v>
      </c>
      <c r="Z68" s="37">
        <f t="shared" si="66"/>
        <v>1.5328499686305344</v>
      </c>
      <c r="AA68" s="37">
        <f t="shared" si="66"/>
        <v>1.481014462444961</v>
      </c>
      <c r="AB68" s="37">
        <f t="shared" si="66"/>
        <v>1.4309318477729092</v>
      </c>
      <c r="AC68" s="37">
        <f t="shared" si="66"/>
        <v>1.3825428480897675</v>
      </c>
      <c r="AD68" s="37">
        <f t="shared" si="66"/>
        <v>1.3357901913910797</v>
      </c>
      <c r="AE68" s="37">
        <f t="shared" si="66"/>
        <v>1.2906185424068404</v>
      </c>
      <c r="AF68" s="37">
        <f t="shared" si="66"/>
        <v>1.2469744371080584</v>
      </c>
      <c r="AG68" s="37">
        <f t="shared" si="66"/>
        <v>1.204806219428076</v>
      </c>
      <c r="AH68" s="37">
        <f t="shared" si="66"/>
        <v>1.1640639801237449</v>
      </c>
      <c r="AI68" s="37">
        <f t="shared" si="66"/>
        <v>1.1246994977041014</v>
      </c>
      <c r="AJ68" s="37">
        <f t="shared" si="66"/>
        <v>1.0866661813566199</v>
      </c>
      <c r="AK68" s="37">
        <f t="shared" si="66"/>
        <v>1.0499190158034974</v>
      </c>
      <c r="AL68" s="37">
        <f t="shared" si="66"/>
        <v>1.0144145080227029</v>
      </c>
      <c r="AM68" s="37">
        <f t="shared" si="66"/>
        <v>0.98011063577072766</v>
      </c>
      <c r="AN68" s="37">
        <f t="shared" si="66"/>
        <v>0.94696679784611382</v>
      </c>
      <c r="AO68" s="37">
        <f t="shared" si="66"/>
        <v>0.91494376603489247</v>
      </c>
      <c r="AP68" s="37">
        <f t="shared" si="66"/>
        <v>0.88400363868105569</v>
      </c>
    </row>
    <row r="69" spans="1:108" customFormat="1" x14ac:dyDescent="0.25">
      <c r="A69" t="s">
        <v>255</v>
      </c>
      <c r="B69" s="37">
        <f t="shared" ref="B69:AP69" si="67">IF(B16&lt;=$A$5,(B54-(B$61-B63))*B$74,0)</f>
        <v>14</v>
      </c>
      <c r="C69" s="37">
        <f t="shared" si="67"/>
        <v>5.7971014492753632</v>
      </c>
      <c r="D69" s="37">
        <f t="shared" si="67"/>
        <v>13.069149805129642</v>
      </c>
      <c r="E69" s="37">
        <f t="shared" si="67"/>
        <v>5.4116562340081344</v>
      </c>
      <c r="F69" s="37">
        <f t="shared" si="67"/>
        <v>5.2286533661914341</v>
      </c>
      <c r="G69" s="37">
        <f t="shared" si="67"/>
        <v>3.3678926674340968</v>
      </c>
      <c r="H69" s="37">
        <f t="shared" si="67"/>
        <v>3.2540025772310117</v>
      </c>
      <c r="I69" s="37">
        <f t="shared" si="67"/>
        <v>11.00387344957347</v>
      </c>
      <c r="J69" s="37">
        <f t="shared" si="67"/>
        <v>3.0376462248650022</v>
      </c>
      <c r="K69" s="37">
        <f t="shared" si="67"/>
        <v>2.9349238887584566</v>
      </c>
      <c r="L69" s="37">
        <f t="shared" si="67"/>
        <v>2.8356752548390887</v>
      </c>
      <c r="M69" s="37">
        <f t="shared" si="67"/>
        <v>2.7397828549169945</v>
      </c>
      <c r="N69" s="37">
        <f t="shared" si="67"/>
        <v>2.6471331931565163</v>
      </c>
      <c r="O69" s="37">
        <f t="shared" si="67"/>
        <v>66.498031905381097</v>
      </c>
      <c r="P69" s="37">
        <f t="shared" si="67"/>
        <v>2.4711271611066929</v>
      </c>
      <c r="Q69" s="37">
        <f t="shared" si="67"/>
        <v>2.3875624744992203</v>
      </c>
      <c r="R69" s="37">
        <f t="shared" si="67"/>
        <v>2.3068236468591503</v>
      </c>
      <c r="S69" s="37">
        <f t="shared" si="67"/>
        <v>2.2288151177383093</v>
      </c>
      <c r="T69" s="37">
        <f t="shared" si="67"/>
        <v>2.1534445582012656</v>
      </c>
      <c r="U69" s="37">
        <f t="shared" si="67"/>
        <v>2.0806227615471165</v>
      </c>
      <c r="V69" s="37">
        <f t="shared" si="67"/>
        <v>2.0102635377266829</v>
      </c>
      <c r="W69" s="37">
        <f t="shared" si="67"/>
        <v>1.9422836113301285</v>
      </c>
      <c r="X69" s="37">
        <f t="shared" si="67"/>
        <v>1.8766025230242791</v>
      </c>
      <c r="Y69" s="37">
        <f t="shared" si="67"/>
        <v>1.813142534322975</v>
      </c>
      <c r="Z69" s="37">
        <f t="shared" si="67"/>
        <v>1.7518285355777536</v>
      </c>
      <c r="AA69" s="37">
        <f t="shared" si="67"/>
        <v>1.6925879570799554</v>
      </c>
      <c r="AB69" s="37">
        <f t="shared" si="67"/>
        <v>1.635350683169039</v>
      </c>
      <c r="AC69" s="37">
        <f t="shared" si="67"/>
        <v>1.5800489692454485</v>
      </c>
      <c r="AD69" s="37">
        <f t="shared" si="67"/>
        <v>1.5266173615898053</v>
      </c>
      <c r="AE69" s="37">
        <f t="shared" si="67"/>
        <v>1.4749926198935319</v>
      </c>
      <c r="AF69" s="37">
        <f t="shared" si="67"/>
        <v>1.4251136424092097</v>
      </c>
      <c r="AG69" s="37">
        <f t="shared" si="67"/>
        <v>1.3769213936320868</v>
      </c>
      <c r="AH69" s="37">
        <f t="shared" si="67"/>
        <v>1.3303588344271371</v>
      </c>
      <c r="AI69" s="37">
        <f t="shared" si="67"/>
        <v>1.285370854518973</v>
      </c>
      <c r="AJ69" s="37">
        <f t="shared" si="67"/>
        <v>1.2419042072647084</v>
      </c>
      <c r="AK69" s="37">
        <f t="shared" si="67"/>
        <v>1.1999074466325685</v>
      </c>
      <c r="AL69" s="37">
        <f t="shared" si="67"/>
        <v>1.1593308663116606</v>
      </c>
      <c r="AM69" s="37">
        <f t="shared" si="67"/>
        <v>1.1201264408808316</v>
      </c>
      <c r="AN69" s="37">
        <f t="shared" si="67"/>
        <v>1.0822477689669872</v>
      </c>
      <c r="AO69" s="37">
        <f t="shared" si="67"/>
        <v>1.0456500183255915</v>
      </c>
      <c r="AP69" s="37">
        <f t="shared" si="67"/>
        <v>1.0102898727783494</v>
      </c>
    </row>
    <row r="70" spans="1:108" customForma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108" customFormat="1" x14ac:dyDescent="0.25">
      <c r="A71" s="39" t="s">
        <v>263</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108" s="11" customFormat="1" x14ac:dyDescent="0.25">
      <c r="A72" s="18" t="s">
        <v>207</v>
      </c>
      <c r="B72" s="22">
        <v>2025</v>
      </c>
      <c r="C72" s="11">
        <f>B72+1</f>
        <v>2026</v>
      </c>
      <c r="D72" s="11">
        <f t="shared" ref="D72:AP72" si="68">C72+1</f>
        <v>2027</v>
      </c>
      <c r="E72" s="11">
        <f t="shared" si="68"/>
        <v>2028</v>
      </c>
      <c r="F72" s="11">
        <f t="shared" si="68"/>
        <v>2029</v>
      </c>
      <c r="G72" s="11">
        <f t="shared" si="68"/>
        <v>2030</v>
      </c>
      <c r="H72" s="11">
        <f t="shared" si="68"/>
        <v>2031</v>
      </c>
      <c r="I72" s="11">
        <f t="shared" si="68"/>
        <v>2032</v>
      </c>
      <c r="J72" s="11">
        <f t="shared" si="68"/>
        <v>2033</v>
      </c>
      <c r="K72" s="11">
        <f t="shared" si="68"/>
        <v>2034</v>
      </c>
      <c r="L72" s="11">
        <f t="shared" si="68"/>
        <v>2035</v>
      </c>
      <c r="M72" s="11">
        <f t="shared" si="68"/>
        <v>2036</v>
      </c>
      <c r="N72" s="11">
        <f t="shared" si="68"/>
        <v>2037</v>
      </c>
      <c r="O72" s="11">
        <f t="shared" si="68"/>
        <v>2038</v>
      </c>
      <c r="P72" s="11">
        <f t="shared" si="68"/>
        <v>2039</v>
      </c>
      <c r="Q72" s="11">
        <f t="shared" si="68"/>
        <v>2040</v>
      </c>
      <c r="R72" s="11">
        <f t="shared" si="68"/>
        <v>2041</v>
      </c>
      <c r="S72" s="11">
        <f t="shared" si="68"/>
        <v>2042</v>
      </c>
      <c r="T72" s="11">
        <f t="shared" si="68"/>
        <v>2043</v>
      </c>
      <c r="U72" s="11">
        <f t="shared" si="68"/>
        <v>2044</v>
      </c>
      <c r="V72" s="11">
        <f t="shared" si="68"/>
        <v>2045</v>
      </c>
      <c r="W72" s="11">
        <f t="shared" si="68"/>
        <v>2046</v>
      </c>
      <c r="X72" s="11">
        <f t="shared" si="68"/>
        <v>2047</v>
      </c>
      <c r="Y72" s="11">
        <f t="shared" si="68"/>
        <v>2048</v>
      </c>
      <c r="Z72" s="11">
        <f t="shared" si="68"/>
        <v>2049</v>
      </c>
      <c r="AA72" s="11">
        <f t="shared" si="68"/>
        <v>2050</v>
      </c>
      <c r="AB72" s="11">
        <f t="shared" si="68"/>
        <v>2051</v>
      </c>
      <c r="AC72" s="11">
        <f t="shared" si="68"/>
        <v>2052</v>
      </c>
      <c r="AD72" s="11">
        <f t="shared" si="68"/>
        <v>2053</v>
      </c>
      <c r="AE72" s="11">
        <f t="shared" si="68"/>
        <v>2054</v>
      </c>
      <c r="AF72" s="11">
        <f t="shared" si="68"/>
        <v>2055</v>
      </c>
      <c r="AG72" s="11">
        <f t="shared" si="68"/>
        <v>2056</v>
      </c>
      <c r="AH72" s="11">
        <f t="shared" si="68"/>
        <v>2057</v>
      </c>
      <c r="AI72" s="11">
        <f t="shared" si="68"/>
        <v>2058</v>
      </c>
      <c r="AJ72" s="11">
        <f t="shared" si="68"/>
        <v>2059</v>
      </c>
      <c r="AK72" s="11">
        <f t="shared" si="68"/>
        <v>2060</v>
      </c>
      <c r="AL72" s="11">
        <f t="shared" si="68"/>
        <v>2061</v>
      </c>
      <c r="AM72" s="11">
        <f t="shared" si="68"/>
        <v>2062</v>
      </c>
      <c r="AN72" s="11">
        <f t="shared" si="68"/>
        <v>2063</v>
      </c>
      <c r="AO72" s="11">
        <f t="shared" si="68"/>
        <v>2064</v>
      </c>
      <c r="AP72" s="11">
        <f t="shared" si="68"/>
        <v>2065</v>
      </c>
    </row>
    <row r="73" spans="1:108" customFormat="1" x14ac:dyDescent="0.25">
      <c r="A73" t="s">
        <v>235</v>
      </c>
      <c r="B73" s="1">
        <v>1</v>
      </c>
      <c r="C73" s="40">
        <f>B73*(1+Diskontering!$A$9/100)</f>
        <v>1.0349999999999999</v>
      </c>
      <c r="D73" s="40">
        <f>C73*(1+Diskontering!$A$9/100)</f>
        <v>1.0712249999999999</v>
      </c>
      <c r="E73" s="40">
        <f>D73*(1+Diskontering!$A$9/100)</f>
        <v>1.1087178749999997</v>
      </c>
      <c r="F73" s="40">
        <f>E73*(1+Diskontering!$A$9/100)</f>
        <v>1.1475230006249997</v>
      </c>
      <c r="G73" s="40">
        <f>F73*(1+Diskontering!$A$9/100)</f>
        <v>1.1876863056468745</v>
      </c>
      <c r="H73" s="40">
        <f>G73*(1+Diskontering!$A$9/100)</f>
        <v>1.229255326344515</v>
      </c>
      <c r="I73" s="40">
        <f>H73*(1+Diskontering!$A$9/100)</f>
        <v>1.2722792627665729</v>
      </c>
      <c r="J73" s="40">
        <f>I73*(1+Diskontering!$A$9/100)</f>
        <v>1.3168090369634029</v>
      </c>
      <c r="K73" s="40">
        <f>J73*(1+Diskontering!$A$9/100)</f>
        <v>1.3628973532571218</v>
      </c>
      <c r="L73" s="40">
        <f>K73*(1+Diskontering!$A$9/100)</f>
        <v>1.410598760621121</v>
      </c>
      <c r="M73" s="40">
        <f>L73*(1+Diskontering!$A$9/100)</f>
        <v>1.4599697172428601</v>
      </c>
      <c r="N73" s="40">
        <f>M73*(1+Diskontering!$A$9/100)</f>
        <v>1.5110686573463601</v>
      </c>
      <c r="O73" s="40">
        <f>N73*(1+Diskontering!$A$9/100)</f>
        <v>1.5639560603534826</v>
      </c>
      <c r="P73" s="40">
        <f>O73*(1+Diskontering!$A$9/100)</f>
        <v>1.6186945224658542</v>
      </c>
      <c r="Q73" s="40">
        <f>P73*(1+Diskontering!$A$9/100)</f>
        <v>1.6753488307521589</v>
      </c>
      <c r="R73" s="40">
        <f>Q73*(1+Diskontering!$A$9/100)</f>
        <v>1.7339860398284843</v>
      </c>
      <c r="S73" s="40">
        <f>R73*(1+Diskontering!$A$9/100)</f>
        <v>1.7946755512224812</v>
      </c>
      <c r="T73" s="40">
        <f>S73*(1+Diskontering!$A$9/100)</f>
        <v>1.8574891955152679</v>
      </c>
      <c r="U73" s="40">
        <f>T73*(1+Diskontering!$A$9/100)</f>
        <v>1.9225013173583021</v>
      </c>
      <c r="V73" s="40">
        <f>U73*(1+Diskontering!$A$9/100)</f>
        <v>1.9897888634658425</v>
      </c>
      <c r="W73" s="40">
        <f>V73*(1+Diskontering!$A$9/100)</f>
        <v>2.0594314736871469</v>
      </c>
      <c r="X73" s="40">
        <f>W73*(1+Diskontering!$A$9/100)</f>
        <v>2.1315115752661966</v>
      </c>
      <c r="Y73" s="40">
        <f>X73*(1+Diskontering!$A$9/100)</f>
        <v>2.2061144804005135</v>
      </c>
      <c r="Z73" s="40">
        <f>Y73*(1+Diskontering!$A$9/100)</f>
        <v>2.2833284872145314</v>
      </c>
      <c r="AA73" s="40">
        <f>Z73*(1+Diskontering!$A$9/100)</f>
        <v>2.3632449842670398</v>
      </c>
      <c r="AB73" s="40">
        <f>AA73*(1+Diskontering!$A$9/100)</f>
        <v>2.4459585587163861</v>
      </c>
      <c r="AC73" s="40">
        <f>AB73*(1+Diskontering!$A$9/100)</f>
        <v>2.5315671082714593</v>
      </c>
      <c r="AD73" s="40">
        <f>AC73*(1+Diskontering!$A$9/100)</f>
        <v>2.6201719570609603</v>
      </c>
      <c r="AE73" s="40">
        <f>AD73*(1+Diskontering!$A$9/100)</f>
        <v>2.7118779755580937</v>
      </c>
      <c r="AF73" s="40">
        <f>AE73*(1+Diskontering!$A$9/100)</f>
        <v>2.8067937047026268</v>
      </c>
      <c r="AG73" s="40">
        <f>AF73*(1+Diskontering!$A$9/100)</f>
        <v>2.9050314843672185</v>
      </c>
      <c r="AH73" s="40">
        <f>AG73*(1+Diskontering!$A$9/100)</f>
        <v>3.0067075863200707</v>
      </c>
      <c r="AI73" s="40">
        <f>AH73*(1+Diskontering!$A$9/100)</f>
        <v>3.111942351841273</v>
      </c>
      <c r="AJ73" s="40">
        <f>AI73*(1+Diskontering!$A$9/100)</f>
        <v>3.2208603341557174</v>
      </c>
      <c r="AK73" s="40">
        <f>AJ73*(1+Diskontering!$A$9/100)</f>
        <v>3.3335904458511671</v>
      </c>
      <c r="AL73" s="40">
        <f>AK73*(1+Diskontering!$A$9/100)</f>
        <v>3.4502661114559579</v>
      </c>
      <c r="AM73" s="40">
        <f>AL73*(1+Diskontering!$A$9/100)</f>
        <v>3.571025425356916</v>
      </c>
      <c r="AN73" s="40">
        <f>AM73*(1+Diskontering!$A$9/100)</f>
        <v>3.6960113152444078</v>
      </c>
      <c r="AO73" s="40">
        <f>AN73*(1+Diskontering!$A$9/100)</f>
        <v>3.8253717112779619</v>
      </c>
      <c r="AP73" s="40">
        <f>AO73*(1+Diskontering!$A$9/100)</f>
        <v>3.9592597211726903</v>
      </c>
      <c r="AQ73" s="40"/>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row>
    <row r="74" spans="1:108" customFormat="1" x14ac:dyDescent="0.25">
      <c r="A74" t="s">
        <v>236</v>
      </c>
      <c r="B74" s="1">
        <v>1</v>
      </c>
      <c r="C74" s="40">
        <f>1/C73</f>
        <v>0.96618357487922713</v>
      </c>
      <c r="D74" s="40">
        <f t="shared" ref="D74:AP74" si="69">1/D73</f>
        <v>0.93351070036640305</v>
      </c>
      <c r="E74" s="40">
        <f t="shared" si="69"/>
        <v>0.90194270566802237</v>
      </c>
      <c r="F74" s="40">
        <f t="shared" si="69"/>
        <v>0.87144222769857238</v>
      </c>
      <c r="G74" s="40">
        <f t="shared" si="69"/>
        <v>0.84197316685852419</v>
      </c>
      <c r="H74" s="40">
        <f t="shared" si="69"/>
        <v>0.81350064430775293</v>
      </c>
      <c r="I74" s="40">
        <f t="shared" si="69"/>
        <v>0.78599096068381935</v>
      </c>
      <c r="J74" s="40">
        <f t="shared" si="69"/>
        <v>0.75941155621625056</v>
      </c>
      <c r="K74" s="40">
        <f t="shared" si="69"/>
        <v>0.73373097218961414</v>
      </c>
      <c r="L74" s="40">
        <f t="shared" si="69"/>
        <v>0.70891881370977217</v>
      </c>
      <c r="M74" s="40">
        <f t="shared" si="69"/>
        <v>0.68494571372924862</v>
      </c>
      <c r="N74" s="40">
        <f t="shared" si="69"/>
        <v>0.66178329828912907</v>
      </c>
      <c r="O74" s="40">
        <f t="shared" si="69"/>
        <v>0.63940415293635666</v>
      </c>
      <c r="P74" s="40">
        <f t="shared" si="69"/>
        <v>0.61778179027667324</v>
      </c>
      <c r="Q74" s="40">
        <f t="shared" si="69"/>
        <v>0.59689061862480508</v>
      </c>
      <c r="R74" s="40">
        <f t="shared" si="69"/>
        <v>0.57670591171478758</v>
      </c>
      <c r="S74" s="40">
        <f t="shared" si="69"/>
        <v>0.55720377943457733</v>
      </c>
      <c r="T74" s="40">
        <f t="shared" si="69"/>
        <v>0.53836113955031639</v>
      </c>
      <c r="U74" s="40">
        <f t="shared" si="69"/>
        <v>0.52015569038677911</v>
      </c>
      <c r="V74" s="40">
        <f t="shared" si="69"/>
        <v>0.50256588443167072</v>
      </c>
      <c r="W74" s="40">
        <f t="shared" si="69"/>
        <v>0.48557090283253213</v>
      </c>
      <c r="X74" s="40">
        <f t="shared" si="69"/>
        <v>0.46915063075606978</v>
      </c>
      <c r="Y74" s="40">
        <f t="shared" si="69"/>
        <v>0.45328563358074375</v>
      </c>
      <c r="Z74" s="40">
        <f t="shared" si="69"/>
        <v>0.43795713389443841</v>
      </c>
      <c r="AA74" s="40">
        <f t="shared" si="69"/>
        <v>0.42314698926998884</v>
      </c>
      <c r="AB74" s="40">
        <f t="shared" si="69"/>
        <v>0.40883767079225974</v>
      </c>
      <c r="AC74" s="40">
        <f t="shared" si="69"/>
        <v>0.39501224231136212</v>
      </c>
      <c r="AD74" s="40">
        <f t="shared" si="69"/>
        <v>0.38165434039745133</v>
      </c>
      <c r="AE74" s="40">
        <f t="shared" si="69"/>
        <v>0.36874815497338298</v>
      </c>
      <c r="AF74" s="40">
        <f t="shared" si="69"/>
        <v>0.35627841060230242</v>
      </c>
      <c r="AG74" s="40">
        <f t="shared" si="69"/>
        <v>0.34423034840802169</v>
      </c>
      <c r="AH74" s="40">
        <f t="shared" si="69"/>
        <v>0.33258970860678427</v>
      </c>
      <c r="AI74" s="40">
        <f t="shared" si="69"/>
        <v>0.32134271362974326</v>
      </c>
      <c r="AJ74" s="40">
        <f t="shared" si="69"/>
        <v>0.3104760518161771</v>
      </c>
      <c r="AK74" s="40">
        <f t="shared" si="69"/>
        <v>0.29997686165814214</v>
      </c>
      <c r="AL74" s="40">
        <f t="shared" si="69"/>
        <v>0.28983271657791515</v>
      </c>
      <c r="AM74" s="40">
        <f t="shared" si="69"/>
        <v>0.28003161022020789</v>
      </c>
      <c r="AN74" s="40">
        <f t="shared" si="69"/>
        <v>0.27056194224174679</v>
      </c>
      <c r="AO74" s="40">
        <f t="shared" si="69"/>
        <v>0.26141250458139786</v>
      </c>
      <c r="AP74" s="40">
        <f t="shared" si="69"/>
        <v>0.25257246819458734</v>
      </c>
      <c r="AQ74" s="40"/>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row>
    <row r="75" spans="1:108" customForma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108" customFormat="1" ht="15.75" x14ac:dyDescent="0.25">
      <c r="A76" s="67" t="s">
        <v>264</v>
      </c>
      <c r="B76" s="151"/>
      <c r="C76" s="151"/>
      <c r="D76" s="151"/>
      <c r="E76" s="151"/>
      <c r="F76" s="151"/>
      <c r="G76" s="151"/>
      <c r="H76" s="15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108" customFormat="1" x14ac:dyDescent="0.25">
      <c r="A77" s="43" t="s">
        <v>265</v>
      </c>
      <c r="B77" s="151"/>
      <c r="C77" s="151"/>
      <c r="D77" s="151"/>
      <c r="E77" s="151"/>
      <c r="F77" s="151"/>
      <c r="G77" s="151"/>
      <c r="H77" s="15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108" s="11" customFormat="1" x14ac:dyDescent="0.25">
      <c r="A78" s="70" t="s">
        <v>207</v>
      </c>
      <c r="B78" s="22">
        <v>2025</v>
      </c>
      <c r="C78" s="22">
        <f>B78+1</f>
        <v>2026</v>
      </c>
      <c r="D78" s="22">
        <f t="shared" ref="D78:AP78" si="70">C78+1</f>
        <v>2027</v>
      </c>
      <c r="E78" s="22">
        <f t="shared" si="70"/>
        <v>2028</v>
      </c>
      <c r="F78" s="22">
        <f t="shared" si="70"/>
        <v>2029</v>
      </c>
      <c r="G78" s="22">
        <f t="shared" si="70"/>
        <v>2030</v>
      </c>
      <c r="H78" s="22">
        <f t="shared" si="70"/>
        <v>2031</v>
      </c>
      <c r="I78" s="11">
        <f t="shared" si="70"/>
        <v>2032</v>
      </c>
      <c r="J78" s="11">
        <f t="shared" si="70"/>
        <v>2033</v>
      </c>
      <c r="K78" s="11">
        <f t="shared" si="70"/>
        <v>2034</v>
      </c>
      <c r="L78" s="11">
        <f t="shared" si="70"/>
        <v>2035</v>
      </c>
      <c r="M78" s="11">
        <f t="shared" si="70"/>
        <v>2036</v>
      </c>
      <c r="N78" s="11">
        <f t="shared" si="70"/>
        <v>2037</v>
      </c>
      <c r="O78" s="11">
        <f t="shared" si="70"/>
        <v>2038</v>
      </c>
      <c r="P78" s="11">
        <f t="shared" si="70"/>
        <v>2039</v>
      </c>
      <c r="Q78" s="11">
        <f t="shared" si="70"/>
        <v>2040</v>
      </c>
      <c r="R78" s="11">
        <f t="shared" si="70"/>
        <v>2041</v>
      </c>
      <c r="S78" s="11">
        <f t="shared" si="70"/>
        <v>2042</v>
      </c>
      <c r="T78" s="11">
        <f t="shared" si="70"/>
        <v>2043</v>
      </c>
      <c r="U78" s="11">
        <f t="shared" si="70"/>
        <v>2044</v>
      </c>
      <c r="V78" s="11">
        <f t="shared" si="70"/>
        <v>2045</v>
      </c>
      <c r="W78" s="11">
        <f t="shared" si="70"/>
        <v>2046</v>
      </c>
      <c r="X78" s="11">
        <f t="shared" si="70"/>
        <v>2047</v>
      </c>
      <c r="Y78" s="11">
        <f t="shared" si="70"/>
        <v>2048</v>
      </c>
      <c r="Z78" s="11">
        <f t="shared" si="70"/>
        <v>2049</v>
      </c>
      <c r="AA78" s="11">
        <f t="shared" si="70"/>
        <v>2050</v>
      </c>
      <c r="AB78" s="11">
        <f t="shared" si="70"/>
        <v>2051</v>
      </c>
      <c r="AC78" s="11">
        <f t="shared" si="70"/>
        <v>2052</v>
      </c>
      <c r="AD78" s="11">
        <f t="shared" si="70"/>
        <v>2053</v>
      </c>
      <c r="AE78" s="11">
        <f t="shared" si="70"/>
        <v>2054</v>
      </c>
      <c r="AF78" s="11">
        <f t="shared" si="70"/>
        <v>2055</v>
      </c>
      <c r="AG78" s="11">
        <f t="shared" si="70"/>
        <v>2056</v>
      </c>
      <c r="AH78" s="11">
        <f t="shared" si="70"/>
        <v>2057</v>
      </c>
      <c r="AI78" s="11">
        <f t="shared" si="70"/>
        <v>2058</v>
      </c>
      <c r="AJ78" s="11">
        <f t="shared" si="70"/>
        <v>2059</v>
      </c>
      <c r="AK78" s="11">
        <f t="shared" si="70"/>
        <v>2060</v>
      </c>
      <c r="AL78" s="11">
        <f t="shared" si="70"/>
        <v>2061</v>
      </c>
      <c r="AM78" s="11">
        <f t="shared" si="70"/>
        <v>2062</v>
      </c>
      <c r="AN78" s="11">
        <f t="shared" si="70"/>
        <v>2063</v>
      </c>
      <c r="AO78" s="11">
        <f t="shared" si="70"/>
        <v>2064</v>
      </c>
      <c r="AP78" s="11">
        <f t="shared" si="70"/>
        <v>2065</v>
      </c>
    </row>
    <row r="79" spans="1:108" customFormat="1" x14ac:dyDescent="0.25">
      <c r="A79" s="41" t="s">
        <v>254</v>
      </c>
      <c r="B79" s="41">
        <f>B68</f>
        <v>13.5</v>
      </c>
      <c r="C79" s="41">
        <f>B79+C68</f>
        <v>17.847826086956523</v>
      </c>
      <c r="D79" s="41">
        <f>C79+D68</f>
        <v>30.450220541902965</v>
      </c>
      <c r="E79" s="41">
        <f t="shared" ref="D79:AP80" si="71">D79+E68</f>
        <v>35.410905423077089</v>
      </c>
      <c r="F79" s="41">
        <f t="shared" si="71"/>
        <v>39.332395447720664</v>
      </c>
      <c r="G79" s="41">
        <f t="shared" si="71"/>
        <v>42.279301531725501</v>
      </c>
      <c r="H79" s="41">
        <f t="shared" si="71"/>
        <v>45.126553786802639</v>
      </c>
      <c r="I79" s="41">
        <f t="shared" si="71"/>
        <v>55.737431756034198</v>
      </c>
      <c r="J79" s="41">
        <f t="shared" si="71"/>
        <v>58.395372202791073</v>
      </c>
      <c r="K79" s="41">
        <f t="shared" si="71"/>
        <v>60.963430605454725</v>
      </c>
      <c r="L79" s="41">
        <f t="shared" si="71"/>
        <v>-7.4472349175382888</v>
      </c>
      <c r="M79" s="41">
        <f t="shared" si="71"/>
        <v>-5.0499249194859193</v>
      </c>
      <c r="N79" s="41">
        <f t="shared" si="71"/>
        <v>-2.7336833754739676</v>
      </c>
      <c r="O79" s="41">
        <f t="shared" si="71"/>
        <v>63.444646453438942</v>
      </c>
      <c r="P79" s="41">
        <f t="shared" si="71"/>
        <v>65.606882719407295</v>
      </c>
      <c r="Q79" s="41">
        <f t="shared" si="71"/>
        <v>67.695999884594116</v>
      </c>
      <c r="R79" s="41">
        <f t="shared" si="71"/>
        <v>69.714470575595868</v>
      </c>
      <c r="S79" s="41">
        <f t="shared" si="71"/>
        <v>71.664683803616896</v>
      </c>
      <c r="T79" s="41">
        <f t="shared" si="71"/>
        <v>73.548947792043009</v>
      </c>
      <c r="U79" s="41">
        <f t="shared" si="71"/>
        <v>75.369492708396734</v>
      </c>
      <c r="V79" s="41">
        <f t="shared" si="71"/>
        <v>77.128473303907583</v>
      </c>
      <c r="W79" s="41">
        <f t="shared" si="71"/>
        <v>78.827971463821441</v>
      </c>
      <c r="X79" s="41">
        <f t="shared" si="71"/>
        <v>80.469998671467692</v>
      </c>
      <c r="Y79" s="41">
        <f t="shared" si="71"/>
        <v>82.056498389000296</v>
      </c>
      <c r="Z79" s="41">
        <f t="shared" si="71"/>
        <v>83.589348357630826</v>
      </c>
      <c r="AA79" s="41">
        <f t="shared" si="71"/>
        <v>85.070362820075786</v>
      </c>
      <c r="AB79" s="41">
        <f t="shared" si="71"/>
        <v>86.501294667848697</v>
      </c>
      <c r="AC79" s="41">
        <f t="shared" si="71"/>
        <v>87.883837515938467</v>
      </c>
      <c r="AD79" s="41">
        <f t="shared" si="71"/>
        <v>89.219627707329551</v>
      </c>
      <c r="AE79" s="41">
        <f t="shared" si="71"/>
        <v>90.510246249736397</v>
      </c>
      <c r="AF79" s="41">
        <f t="shared" si="71"/>
        <v>91.757220686844462</v>
      </c>
      <c r="AG79" s="41">
        <f t="shared" si="71"/>
        <v>92.962026906272541</v>
      </c>
      <c r="AH79" s="41">
        <f t="shared" si="71"/>
        <v>94.126090886396284</v>
      </c>
      <c r="AI79" s="41">
        <f t="shared" si="71"/>
        <v>95.250790384100384</v>
      </c>
      <c r="AJ79" s="41">
        <f t="shared" si="71"/>
        <v>96.337456565457003</v>
      </c>
      <c r="AK79" s="41">
        <f t="shared" si="71"/>
        <v>97.3873755812605</v>
      </c>
      <c r="AL79" s="41">
        <f t="shared" si="71"/>
        <v>98.401790089283196</v>
      </c>
      <c r="AM79" s="41">
        <f t="shared" si="71"/>
        <v>99.381900725053924</v>
      </c>
      <c r="AN79" s="41">
        <f t="shared" si="71"/>
        <v>100.32886752290004</v>
      </c>
      <c r="AO79" s="41">
        <f t="shared" si="71"/>
        <v>101.24381128893494</v>
      </c>
      <c r="AP79" s="41">
        <f t="shared" si="71"/>
        <v>102.12781492761599</v>
      </c>
    </row>
    <row r="80" spans="1:108" customFormat="1" x14ac:dyDescent="0.25">
      <c r="A80" s="41" t="s">
        <v>255</v>
      </c>
      <c r="B80" s="41">
        <f>B69</f>
        <v>14</v>
      </c>
      <c r="C80" s="41">
        <f>B80+C69</f>
        <v>19.797101449275363</v>
      </c>
      <c r="D80" s="41">
        <f t="shared" si="71"/>
        <v>32.866251254405007</v>
      </c>
      <c r="E80" s="41">
        <f t="shared" si="71"/>
        <v>38.277907488413142</v>
      </c>
      <c r="F80" s="41">
        <f t="shared" si="71"/>
        <v>43.506560854604572</v>
      </c>
      <c r="G80" s="41">
        <f t="shared" si="71"/>
        <v>46.874453522038671</v>
      </c>
      <c r="H80" s="41">
        <f t="shared" si="71"/>
        <v>50.128456099269684</v>
      </c>
      <c r="I80" s="41">
        <f t="shared" si="71"/>
        <v>61.132329548843153</v>
      </c>
      <c r="J80" s="41">
        <f t="shared" si="71"/>
        <v>64.16997577370816</v>
      </c>
      <c r="K80" s="41">
        <f t="shared" si="71"/>
        <v>67.104899662466622</v>
      </c>
      <c r="L80" s="41">
        <f t="shared" si="71"/>
        <v>69.94057491730571</v>
      </c>
      <c r="M80" s="41">
        <f t="shared" si="71"/>
        <v>72.680357772222706</v>
      </c>
      <c r="N80" s="41">
        <f t="shared" si="71"/>
        <v>75.327490965379226</v>
      </c>
      <c r="O80" s="41">
        <f t="shared" si="71"/>
        <v>141.82552287076032</v>
      </c>
      <c r="P80" s="41">
        <f t="shared" si="71"/>
        <v>144.29665003186702</v>
      </c>
      <c r="Q80" s="41">
        <f t="shared" si="71"/>
        <v>146.68421250636624</v>
      </c>
      <c r="R80" s="41">
        <f t="shared" si="71"/>
        <v>148.99103615322539</v>
      </c>
      <c r="S80" s="41">
        <f t="shared" si="71"/>
        <v>151.21985127096372</v>
      </c>
      <c r="T80" s="41">
        <f t="shared" si="71"/>
        <v>153.37329582916499</v>
      </c>
      <c r="U80" s="41">
        <f t="shared" si="71"/>
        <v>155.45391859071211</v>
      </c>
      <c r="V80" s="41">
        <f t="shared" si="71"/>
        <v>157.46418212843878</v>
      </c>
      <c r="W80" s="41">
        <f t="shared" si="71"/>
        <v>159.40646573976892</v>
      </c>
      <c r="X80" s="41">
        <f t="shared" si="71"/>
        <v>161.28306826279319</v>
      </c>
      <c r="Y80" s="41">
        <f t="shared" si="71"/>
        <v>163.09621079711616</v>
      </c>
      <c r="Z80" s="41">
        <f t="shared" si="71"/>
        <v>164.8480393326939</v>
      </c>
      <c r="AA80" s="41">
        <f t="shared" si="71"/>
        <v>166.54062728977385</v>
      </c>
      <c r="AB80" s="41">
        <f t="shared" si="71"/>
        <v>168.17597797294289</v>
      </c>
      <c r="AC80" s="41">
        <f t="shared" si="71"/>
        <v>169.75602694218833</v>
      </c>
      <c r="AD80" s="41">
        <f t="shared" si="71"/>
        <v>171.28264430377814</v>
      </c>
      <c r="AE80" s="41">
        <f t="shared" si="71"/>
        <v>172.75763692367167</v>
      </c>
      <c r="AF80" s="41">
        <f t="shared" si="71"/>
        <v>174.18275056608087</v>
      </c>
      <c r="AG80" s="41">
        <f t="shared" si="71"/>
        <v>175.55967195971294</v>
      </c>
      <c r="AH80" s="41">
        <f t="shared" si="71"/>
        <v>176.89003079414007</v>
      </c>
      <c r="AI80" s="41">
        <f t="shared" si="71"/>
        <v>178.17540164865903</v>
      </c>
      <c r="AJ80" s="41">
        <f t="shared" si="71"/>
        <v>179.41730585592373</v>
      </c>
      <c r="AK80" s="41">
        <f t="shared" si="71"/>
        <v>180.61721330255631</v>
      </c>
      <c r="AL80" s="41">
        <f t="shared" si="71"/>
        <v>181.77654416886796</v>
      </c>
      <c r="AM80" s="41">
        <f t="shared" si="71"/>
        <v>182.89667060974878</v>
      </c>
      <c r="AN80" s="41">
        <f t="shared" si="71"/>
        <v>183.97891837871578</v>
      </c>
      <c r="AO80" s="41">
        <f t="shared" si="71"/>
        <v>185.02456839704138</v>
      </c>
      <c r="AP80" s="41">
        <f t="shared" si="71"/>
        <v>186.03485826981972</v>
      </c>
    </row>
    <row r="81" spans="1:42" customForma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42" customFormat="1" x14ac:dyDescent="0.25">
      <c r="A82" s="42" t="s">
        <v>266</v>
      </c>
      <c r="B82" s="42">
        <f>B80+B47</f>
        <v>14</v>
      </c>
      <c r="C82" s="42">
        <f t="shared" ref="C82:AP82" si="72">C80+C47</f>
        <v>19.797101449275363</v>
      </c>
      <c r="D82" s="42">
        <f t="shared" si="72"/>
        <v>32.866251254405007</v>
      </c>
      <c r="E82" s="42">
        <f t="shared" si="72"/>
        <v>38.277907488413142</v>
      </c>
      <c r="F82" s="42">
        <f t="shared" si="72"/>
        <v>43.506560854604572</v>
      </c>
      <c r="G82" s="42">
        <f t="shared" si="72"/>
        <v>46.874453522038671</v>
      </c>
      <c r="H82" s="42">
        <f t="shared" si="72"/>
        <v>50.128456099269684</v>
      </c>
      <c r="I82" s="42">
        <f t="shared" si="72"/>
        <v>61.132329548843153</v>
      </c>
      <c r="J82" s="42">
        <f t="shared" si="72"/>
        <v>64.16997577370816</v>
      </c>
      <c r="K82" s="42">
        <f t="shared" si="72"/>
        <v>67.104899662466622</v>
      </c>
      <c r="L82" s="42">
        <f t="shared" si="72"/>
        <v>69.94057491730571</v>
      </c>
      <c r="M82" s="42">
        <f t="shared" si="72"/>
        <v>72.680357772222706</v>
      </c>
      <c r="N82" s="42">
        <f t="shared" si="72"/>
        <v>75.327490965379226</v>
      </c>
      <c r="O82" s="42">
        <f t="shared" si="72"/>
        <v>141.82552287076032</v>
      </c>
      <c r="P82" s="42">
        <f t="shared" si="72"/>
        <v>144.29665003186702</v>
      </c>
      <c r="Q82" s="42">
        <f t="shared" si="72"/>
        <v>146.68421250636624</v>
      </c>
      <c r="R82" s="42">
        <f t="shared" si="72"/>
        <v>148.99103615322539</v>
      </c>
      <c r="S82" s="42">
        <f t="shared" si="72"/>
        <v>151.21985127096372</v>
      </c>
      <c r="T82" s="42">
        <f t="shared" si="72"/>
        <v>153.37329582916499</v>
      </c>
      <c r="U82" s="42">
        <f t="shared" si="72"/>
        <v>155.45391859071211</v>
      </c>
      <c r="V82" s="42">
        <f t="shared" si="72"/>
        <v>157.46418212843878</v>
      </c>
      <c r="W82" s="42">
        <f t="shared" si="72"/>
        <v>159.40646573976892</v>
      </c>
      <c r="X82" s="42">
        <f t="shared" si="72"/>
        <v>161.28306826279319</v>
      </c>
      <c r="Y82" s="42">
        <f t="shared" si="72"/>
        <v>163.09621079711616</v>
      </c>
      <c r="Z82" s="42">
        <f t="shared" si="72"/>
        <v>164.8480393326939</v>
      </c>
      <c r="AA82" s="42">
        <f t="shared" si="72"/>
        <v>166.54062728977385</v>
      </c>
      <c r="AB82" s="42">
        <f t="shared" si="72"/>
        <v>168.17597797294289</v>
      </c>
      <c r="AC82" s="42">
        <f t="shared" si="72"/>
        <v>169.75602694218833</v>
      </c>
      <c r="AD82" s="42">
        <f t="shared" si="72"/>
        <v>171.28264430377814</v>
      </c>
      <c r="AE82" s="42">
        <f t="shared" si="72"/>
        <v>172.75763692367167</v>
      </c>
      <c r="AF82" s="42">
        <f t="shared" si="72"/>
        <v>174.18275056608087</v>
      </c>
      <c r="AG82" s="42">
        <f t="shared" si="72"/>
        <v>175.55967195971294</v>
      </c>
      <c r="AH82" s="42">
        <f t="shared" si="72"/>
        <v>176.89003079414007</v>
      </c>
      <c r="AI82" s="42">
        <f t="shared" si="72"/>
        <v>178.17540164865903</v>
      </c>
      <c r="AJ82" s="42">
        <f t="shared" si="72"/>
        <v>179.41730585592373</v>
      </c>
      <c r="AK82" s="42">
        <f t="shared" si="72"/>
        <v>180.61721330255631</v>
      </c>
      <c r="AL82" s="42">
        <f t="shared" si="72"/>
        <v>181.77654416886796</v>
      </c>
      <c r="AM82" s="42">
        <f t="shared" si="72"/>
        <v>182.89667060974878</v>
      </c>
      <c r="AN82" s="42">
        <f t="shared" si="72"/>
        <v>183.97891837871578</v>
      </c>
      <c r="AO82" s="42">
        <f t="shared" si="72"/>
        <v>185.02456839704138</v>
      </c>
      <c r="AP82" s="42">
        <f t="shared" si="72"/>
        <v>186.03485826981972</v>
      </c>
    </row>
    <row r="83" spans="1:42" customFormat="1" x14ac:dyDescent="0.25">
      <c r="A83" s="20"/>
      <c r="B83" s="151"/>
      <c r="C83" s="151"/>
      <c r="D83" s="151"/>
      <c r="E83" s="151"/>
      <c r="F83" s="151"/>
      <c r="G83" s="151"/>
      <c r="H83" s="15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42" customFormat="1" x14ac:dyDescent="0.25">
      <c r="A84" s="20"/>
      <c r="B84" s="151"/>
      <c r="C84" s="151"/>
      <c r="D84" s="151"/>
      <c r="E84" s="151"/>
      <c r="F84" s="151"/>
      <c r="G84" s="151"/>
      <c r="H84" s="15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42" customFormat="1" ht="15.75" x14ac:dyDescent="0.25">
      <c r="A85" s="67" t="s">
        <v>267</v>
      </c>
      <c r="B85" s="665"/>
      <c r="C85" s="665"/>
      <c r="D85" s="665"/>
      <c r="E85" s="665"/>
      <c r="F85" s="665"/>
      <c r="G85" s="665"/>
      <c r="H85" s="665"/>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42" s="674" customFormat="1" x14ac:dyDescent="0.25">
      <c r="A86" s="676" t="s">
        <v>268</v>
      </c>
      <c r="B86" s="677"/>
      <c r="C86" s="677"/>
      <c r="D86" s="677"/>
      <c r="E86" s="677"/>
      <c r="F86" s="677"/>
      <c r="G86" s="677"/>
      <c r="H86" s="677"/>
      <c r="I86" s="673"/>
      <c r="J86" s="673"/>
      <c r="K86" s="673"/>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673"/>
      <c r="AJ86" s="673"/>
      <c r="AK86" s="673"/>
      <c r="AL86" s="673"/>
    </row>
    <row r="87" spans="1:42" customFormat="1" x14ac:dyDescent="0.25">
      <c r="A87" s="20"/>
      <c r="B87" s="665"/>
      <c r="C87" s="665"/>
      <c r="D87" s="665"/>
      <c r="E87" s="665"/>
      <c r="F87" s="665"/>
      <c r="G87" s="665"/>
      <c r="H87" s="665"/>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42" customFormat="1" x14ac:dyDescent="0.25">
      <c r="A88" s="20" t="s">
        <v>254</v>
      </c>
      <c r="B88" s="32">
        <f>SUM(B68:AP68)</f>
        <v>102.12781492761599</v>
      </c>
      <c r="C88" s="36" t="s">
        <v>269</v>
      </c>
      <c r="D88" s="665"/>
      <c r="E88" s="665"/>
      <c r="F88" s="665"/>
      <c r="G88" s="665"/>
      <c r="H88" s="665"/>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42" customFormat="1" x14ac:dyDescent="0.25">
      <c r="A89" s="20" t="s">
        <v>255</v>
      </c>
      <c r="B89" s="32">
        <f>SUM(B69:AP69)</f>
        <v>186.03485826981972</v>
      </c>
      <c r="C89" s="36" t="s">
        <v>269</v>
      </c>
      <c r="D89" s="665"/>
      <c r="E89" s="665"/>
      <c r="F89" s="665"/>
      <c r="G89" s="665"/>
      <c r="H89" s="665"/>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42" customFormat="1" x14ac:dyDescent="0.25">
      <c r="A90" s="20"/>
      <c r="B90" s="32"/>
      <c r="C90" s="36"/>
      <c r="D90" s="665"/>
      <c r="E90" s="665"/>
      <c r="F90" s="665"/>
      <c r="G90" s="665"/>
      <c r="H90" s="66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42" customFormat="1" x14ac:dyDescent="0.25">
      <c r="A91" s="20" t="s">
        <v>266</v>
      </c>
      <c r="B91" s="32">
        <f>B89+SUM(B46:AP46)</f>
        <v>186.03485826981972</v>
      </c>
      <c r="C91" s="36" t="s">
        <v>269</v>
      </c>
      <c r="D91" s="665"/>
      <c r="E91" s="665"/>
      <c r="F91" s="665"/>
      <c r="G91" s="665"/>
      <c r="H91" s="665"/>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42" customFormat="1" x14ac:dyDescent="0.25">
      <c r="A92" s="20"/>
      <c r="B92" s="665"/>
      <c r="C92" s="665"/>
      <c r="D92" s="665"/>
      <c r="E92" s="665"/>
      <c r="F92" s="665"/>
      <c r="G92" s="665"/>
      <c r="H92" s="665"/>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42" s="674" customFormat="1" x14ac:dyDescent="0.25">
      <c r="A93" s="676" t="s">
        <v>270</v>
      </c>
      <c r="B93" s="677"/>
      <c r="C93" s="677"/>
      <c r="D93" s="677"/>
      <c r="E93" s="677"/>
      <c r="F93" s="677"/>
      <c r="G93" s="677"/>
      <c r="H93" s="677"/>
      <c r="I93" s="673"/>
      <c r="J93" s="673"/>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K93" s="673"/>
      <c r="AL93" s="673"/>
    </row>
    <row r="94" spans="1:42" customForma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10"/>
  <sheetViews>
    <sheetView topLeftCell="A61" zoomScale="95" zoomScaleNormal="95" workbookViewId="0">
      <selection activeCell="A76" sqref="A76"/>
    </sheetView>
  </sheetViews>
  <sheetFormatPr defaultRowHeight="15" x14ac:dyDescent="0.25"/>
  <cols>
    <col min="1" max="1" width="36.140625" customWidth="1"/>
    <col min="2" max="2" width="26.7109375" customWidth="1"/>
    <col min="3" max="3" width="38.5703125" customWidth="1"/>
    <col min="4" max="4" width="27.140625" customWidth="1"/>
    <col min="5" max="5" width="39.7109375" customWidth="1"/>
    <col min="6" max="6" width="22.42578125" bestFit="1" customWidth="1"/>
    <col min="7" max="7" width="15.7109375" customWidth="1"/>
    <col min="8" max="8" width="22.140625" customWidth="1"/>
    <col min="9" max="9" width="21.5703125" customWidth="1"/>
    <col min="10" max="10" width="18.5703125" bestFit="1" customWidth="1"/>
    <col min="11" max="11" width="9" customWidth="1"/>
    <col min="12" max="12" width="24.5703125" customWidth="1"/>
    <col min="14" max="14" width="12.7109375" bestFit="1" customWidth="1"/>
  </cols>
  <sheetData>
    <row r="1" spans="1:19" ht="23.25" x14ac:dyDescent="0.35">
      <c r="A1" s="386" t="s">
        <v>711</v>
      </c>
      <c r="B1" s="177"/>
      <c r="C1" s="177"/>
      <c r="D1" s="177"/>
      <c r="E1" s="177"/>
      <c r="F1" s="177"/>
      <c r="G1" s="177"/>
      <c r="H1" s="177"/>
      <c r="I1" s="177"/>
      <c r="J1" s="177"/>
      <c r="K1" s="177"/>
      <c r="L1" s="177"/>
      <c r="M1" s="177"/>
      <c r="N1" s="177"/>
      <c r="O1" s="177"/>
      <c r="P1" s="177"/>
      <c r="Q1" s="177"/>
      <c r="R1" s="177"/>
      <c r="S1" s="177"/>
    </row>
    <row r="2" spans="1:19" ht="21" x14ac:dyDescent="0.35">
      <c r="A2" s="366"/>
    </row>
    <row r="3" spans="1:19" x14ac:dyDescent="0.25">
      <c r="A3" s="241" t="s">
        <v>695</v>
      </c>
    </row>
    <row r="4" spans="1:19" x14ac:dyDescent="0.25">
      <c r="A4" s="241" t="s">
        <v>843</v>
      </c>
    </row>
    <row r="5" spans="1:19" x14ac:dyDescent="0.25">
      <c r="A5" s="241"/>
    </row>
    <row r="6" spans="1:19" x14ac:dyDescent="0.25">
      <c r="A6" s="241"/>
    </row>
    <row r="7" spans="1:19" ht="18.75" x14ac:dyDescent="0.3">
      <c r="A7" s="367" t="s">
        <v>709</v>
      </c>
      <c r="B7" s="368"/>
      <c r="C7" s="368"/>
      <c r="D7" s="368"/>
      <c r="E7" s="368"/>
      <c r="F7" s="368"/>
      <c r="G7" s="368"/>
      <c r="H7" s="368"/>
      <c r="I7" s="368"/>
      <c r="J7" s="368"/>
      <c r="K7" s="368"/>
      <c r="L7" s="368"/>
      <c r="M7" s="368"/>
      <c r="N7" s="368"/>
      <c r="O7" s="368"/>
      <c r="P7" s="368"/>
      <c r="Q7" s="368"/>
      <c r="R7" s="368"/>
      <c r="S7" s="368"/>
    </row>
    <row r="8" spans="1:19" ht="15.75" x14ac:dyDescent="0.25">
      <c r="A8" s="372" t="s">
        <v>842</v>
      </c>
      <c r="B8" s="7"/>
      <c r="F8" s="2"/>
      <c r="G8" s="2"/>
      <c r="H8" s="58"/>
    </row>
    <row r="9" spans="1:19" ht="75" x14ac:dyDescent="0.25">
      <c r="A9" s="397" t="s">
        <v>249</v>
      </c>
      <c r="B9" s="567">
        <v>1.5</v>
      </c>
      <c r="C9" s="398" t="s">
        <v>229</v>
      </c>
      <c r="D9" s="568">
        <v>3.5</v>
      </c>
      <c r="E9" s="382"/>
      <c r="F9" s="319" t="s">
        <v>372</v>
      </c>
      <c r="G9" s="569">
        <v>30</v>
      </c>
      <c r="H9" s="319" t="s">
        <v>373</v>
      </c>
      <c r="I9" s="400" t="s">
        <v>660</v>
      </c>
    </row>
    <row r="10" spans="1:19" ht="75" x14ac:dyDescent="0.25">
      <c r="A10" s="398" t="s">
        <v>224</v>
      </c>
      <c r="B10" s="568">
        <v>40</v>
      </c>
      <c r="C10" s="398" t="s">
        <v>230</v>
      </c>
      <c r="D10" s="569">
        <v>1.3</v>
      </c>
      <c r="E10" s="382"/>
      <c r="F10" s="399" t="s">
        <v>374</v>
      </c>
      <c r="G10" s="568">
        <v>1</v>
      </c>
      <c r="H10" s="319" t="s">
        <v>375</v>
      </c>
      <c r="I10" s="400" t="s">
        <v>661</v>
      </c>
    </row>
    <row r="11" spans="1:19" ht="30" x14ac:dyDescent="0.25">
      <c r="A11" s="398" t="s">
        <v>227</v>
      </c>
      <c r="B11" s="569">
        <v>0</v>
      </c>
      <c r="C11" s="399" t="s">
        <v>728</v>
      </c>
      <c r="D11" s="568">
        <v>10</v>
      </c>
      <c r="E11" s="401" t="s">
        <v>729</v>
      </c>
      <c r="F11" s="382"/>
      <c r="G11" s="382"/>
      <c r="H11" s="402"/>
      <c r="I11" s="382"/>
    </row>
    <row r="12" spans="1:19" ht="90" x14ac:dyDescent="0.25">
      <c r="A12" s="382" t="s">
        <v>0</v>
      </c>
      <c r="B12" s="570">
        <v>3.5</v>
      </c>
      <c r="C12" s="382" t="s">
        <v>536</v>
      </c>
      <c r="D12" s="382"/>
      <c r="E12" s="403" t="s">
        <v>656</v>
      </c>
      <c r="F12" s="382"/>
      <c r="G12" s="382"/>
      <c r="H12" s="402"/>
      <c r="I12" s="382"/>
    </row>
    <row r="13" spans="1:19" ht="15.75" x14ac:dyDescent="0.25">
      <c r="A13" s="372"/>
      <c r="D13" s="2"/>
      <c r="E13" s="132"/>
      <c r="F13" s="2"/>
      <c r="G13" s="2"/>
      <c r="H13" s="58"/>
    </row>
    <row r="14" spans="1:19" x14ac:dyDescent="0.25">
      <c r="D14" s="2"/>
      <c r="E14" s="132"/>
      <c r="F14" s="2"/>
      <c r="G14" s="2"/>
      <c r="H14" s="58"/>
    </row>
    <row r="16" spans="1:19" ht="18.75" x14ac:dyDescent="0.3">
      <c r="A16" s="367" t="s">
        <v>696</v>
      </c>
      <c r="B16" s="368"/>
      <c r="C16" s="368"/>
      <c r="D16" s="368"/>
      <c r="E16" s="368"/>
      <c r="F16" s="368"/>
      <c r="G16" s="368"/>
      <c r="H16" s="368"/>
      <c r="I16" s="368"/>
      <c r="J16" s="368"/>
      <c r="K16" s="368"/>
      <c r="L16" s="368"/>
      <c r="M16" s="368"/>
      <c r="N16" s="368"/>
      <c r="O16" s="368"/>
      <c r="P16" s="368"/>
      <c r="Q16" s="368"/>
      <c r="R16" s="368"/>
      <c r="S16" s="368"/>
    </row>
    <row r="17" spans="1:19" x14ac:dyDescent="0.25">
      <c r="B17" s="85" t="s">
        <v>3</v>
      </c>
      <c r="C17" s="85" t="s">
        <v>4</v>
      </c>
    </row>
    <row r="18" spans="1:19" ht="18.75" thickBot="1" x14ac:dyDescent="0.3">
      <c r="A18" s="119"/>
      <c r="B18" s="85" t="s">
        <v>5</v>
      </c>
      <c r="C18" s="85" t="s">
        <v>5</v>
      </c>
      <c r="D18" s="370" t="s">
        <v>697</v>
      </c>
      <c r="E18" s="121"/>
      <c r="F18" s="120"/>
      <c r="G18" s="120"/>
      <c r="H18" s="120"/>
      <c r="I18" s="120"/>
      <c r="J18" s="120"/>
      <c r="L18" s="120"/>
      <c r="M18" s="84"/>
      <c r="N18" s="120"/>
      <c r="O18" s="120"/>
      <c r="P18" s="120"/>
    </row>
    <row r="19" spans="1:19" x14ac:dyDescent="0.25">
      <c r="A19" s="119" t="s">
        <v>6</v>
      </c>
      <c r="B19" s="571">
        <v>-0.62989999999999968</v>
      </c>
      <c r="C19" s="498">
        <v>0.32600000000000001</v>
      </c>
      <c r="D19" s="124" t="s">
        <v>7</v>
      </c>
      <c r="E19" s="572">
        <v>300</v>
      </c>
      <c r="F19" s="120" t="s">
        <v>8</v>
      </c>
      <c r="G19" s="120"/>
      <c r="H19" s="120"/>
      <c r="I19" s="573"/>
      <c r="J19" s="574" t="s">
        <v>9</v>
      </c>
      <c r="K19" s="575" t="s">
        <v>10</v>
      </c>
      <c r="L19" s="576"/>
      <c r="M19" s="576"/>
      <c r="N19" s="577"/>
    </row>
    <row r="20" spans="1:19" ht="15.75" thickBot="1" x14ac:dyDescent="0.3">
      <c r="A20" s="119" t="s">
        <v>11</v>
      </c>
      <c r="B20" s="571">
        <v>-1.7154999999999998</v>
      </c>
      <c r="C20" s="498">
        <v>0.32600000000000001</v>
      </c>
      <c r="D20" s="124" t="s">
        <v>12</v>
      </c>
      <c r="E20" s="572">
        <f>K22+E19*L22+E19^2*M22+E19^3*N22</f>
        <v>-1.7154999999999998</v>
      </c>
      <c r="F20" s="120" t="s">
        <v>13</v>
      </c>
      <c r="G20" s="120"/>
      <c r="H20" s="120"/>
      <c r="I20" s="578"/>
      <c r="J20" s="579" t="s">
        <v>14</v>
      </c>
      <c r="K20" s="580"/>
      <c r="L20" s="581"/>
      <c r="M20" s="581"/>
      <c r="N20" s="582"/>
    </row>
    <row r="21" spans="1:19" ht="15.75" thickBot="1" x14ac:dyDescent="0.3">
      <c r="A21" s="119" t="s">
        <v>15</v>
      </c>
      <c r="B21" s="571">
        <v>-0.92100000000000004</v>
      </c>
      <c r="C21" s="498">
        <v>0.32600000000000001</v>
      </c>
      <c r="D21" s="124" t="s">
        <v>16</v>
      </c>
      <c r="E21" s="572">
        <f>K23+E19*L23+E19^2*M23+E19^3*N23</f>
        <v>-0.62989999999999968</v>
      </c>
      <c r="F21" s="120" t="s">
        <v>13</v>
      </c>
      <c r="G21" s="125" t="s">
        <v>17</v>
      </c>
      <c r="H21" s="120"/>
      <c r="I21" s="583"/>
      <c r="J21" s="584"/>
      <c r="K21" s="584" t="s">
        <v>18</v>
      </c>
      <c r="L21" s="584" t="s">
        <v>19</v>
      </c>
      <c r="M21" s="584" t="s">
        <v>20</v>
      </c>
      <c r="N21" s="584" t="s">
        <v>21</v>
      </c>
    </row>
    <row r="22" spans="1:19" ht="15.75" thickBot="1" x14ac:dyDescent="0.3">
      <c r="A22" s="119" t="s">
        <v>22</v>
      </c>
      <c r="B22" s="571">
        <v>-1.087</v>
      </c>
      <c r="C22" s="498">
        <v>0.32600000000000001</v>
      </c>
      <c r="D22" s="120"/>
      <c r="E22" s="120"/>
      <c r="F22" s="120"/>
      <c r="G22" s="120"/>
      <c r="H22" s="120"/>
      <c r="I22" s="583" t="s">
        <v>23</v>
      </c>
      <c r="J22" s="584">
        <v>-1.087</v>
      </c>
      <c r="K22" s="584">
        <v>-2.3544999999999998</v>
      </c>
      <c r="L22" s="584">
        <v>7.4999999999999997E-3</v>
      </c>
      <c r="M22" s="584">
        <v>-2.0000000000000002E-5</v>
      </c>
      <c r="N22" s="584">
        <v>6.9999999999999998E-9</v>
      </c>
    </row>
    <row r="23" spans="1:19" ht="30.75" thickBot="1" x14ac:dyDescent="0.3">
      <c r="A23" s="317" t="s">
        <v>368</v>
      </c>
      <c r="B23" s="571">
        <v>0.4</v>
      </c>
      <c r="C23" s="120"/>
      <c r="D23" s="120"/>
      <c r="E23" s="120"/>
      <c r="F23" s="120"/>
      <c r="G23" s="120"/>
      <c r="H23" s="120"/>
      <c r="I23" s="583" t="s">
        <v>24</v>
      </c>
      <c r="J23" s="584">
        <v>-0.92100000000000004</v>
      </c>
      <c r="K23" s="584">
        <v>-0.92989999999999995</v>
      </c>
      <c r="L23" s="584">
        <v>8.8000000000000005E-3</v>
      </c>
      <c r="M23" s="584">
        <f>-0.00005</f>
        <v>-5.0000000000000002E-5</v>
      </c>
      <c r="N23" s="584">
        <f>0.00000008</f>
        <v>8.0000000000000002E-8</v>
      </c>
    </row>
    <row r="24" spans="1:19" ht="30" x14ac:dyDescent="0.25">
      <c r="A24" s="15" t="s">
        <v>271</v>
      </c>
      <c r="B24" s="571">
        <v>0.2</v>
      </c>
      <c r="C24" s="120"/>
      <c r="I24" s="372"/>
    </row>
    <row r="25" spans="1:19" ht="30" x14ac:dyDescent="0.25">
      <c r="A25" s="369" t="s">
        <v>25</v>
      </c>
      <c r="B25" s="570">
        <v>0.2</v>
      </c>
    </row>
    <row r="27" spans="1:19" ht="18.75" x14ac:dyDescent="0.3">
      <c r="A27" s="367" t="s">
        <v>704</v>
      </c>
      <c r="B27" s="368"/>
      <c r="C27" s="368"/>
      <c r="D27" s="368"/>
      <c r="E27" s="368"/>
      <c r="F27" s="368"/>
      <c r="G27" s="368"/>
      <c r="H27" s="368"/>
      <c r="I27" s="368"/>
      <c r="J27" s="368"/>
      <c r="K27" s="368"/>
      <c r="L27" s="368"/>
      <c r="M27" s="368"/>
      <c r="N27" s="368"/>
      <c r="O27" s="368"/>
      <c r="P27" s="368"/>
      <c r="Q27" s="368"/>
      <c r="R27" s="368"/>
      <c r="S27" s="368"/>
    </row>
    <row r="29" spans="1:19" x14ac:dyDescent="0.25">
      <c r="A29" s="377" t="s">
        <v>27</v>
      </c>
      <c r="B29" s="378" t="s">
        <v>28</v>
      </c>
      <c r="C29" s="378" t="s">
        <v>29</v>
      </c>
      <c r="F29" s="373"/>
      <c r="G29" s="374" t="s">
        <v>26</v>
      </c>
      <c r="H29" s="373"/>
      <c r="I29" s="373"/>
      <c r="L29" s="377" t="s">
        <v>27</v>
      </c>
      <c r="M29" s="377"/>
      <c r="N29" s="377"/>
      <c r="O29" s="377"/>
      <c r="P29" s="377"/>
      <c r="Q29" s="377"/>
    </row>
    <row r="30" spans="1:19" ht="39" thickBot="1" x14ac:dyDescent="0.3">
      <c r="A30" s="87" t="s">
        <v>30</v>
      </c>
      <c r="B30" s="88" t="s">
        <v>33</v>
      </c>
      <c r="C30" s="88" t="s">
        <v>33</v>
      </c>
      <c r="F30" s="375" t="s">
        <v>27</v>
      </c>
      <c r="G30" s="376" t="s">
        <v>28</v>
      </c>
      <c r="H30" s="374" t="s">
        <v>28</v>
      </c>
      <c r="I30" s="376" t="s">
        <v>29</v>
      </c>
      <c r="L30" s="380" t="s">
        <v>55</v>
      </c>
      <c r="M30" s="381" t="s">
        <v>56</v>
      </c>
      <c r="N30" s="381" t="s">
        <v>54</v>
      </c>
      <c r="O30" s="381" t="s">
        <v>57</v>
      </c>
      <c r="P30" s="381" t="s">
        <v>58</v>
      </c>
      <c r="Q30" s="381" t="s">
        <v>59</v>
      </c>
    </row>
    <row r="31" spans="1:19" ht="15.75" thickBot="1" x14ac:dyDescent="0.3">
      <c r="A31" s="89" t="s">
        <v>34</v>
      </c>
      <c r="B31" s="586">
        <f>$B$25*G32+(1-$B$25)*H32</f>
        <v>65.599999999999994</v>
      </c>
      <c r="C31" s="586">
        <v>85</v>
      </c>
      <c r="F31" s="127" t="s">
        <v>30</v>
      </c>
      <c r="G31" s="127" t="s">
        <v>31</v>
      </c>
      <c r="H31" s="127" t="s">
        <v>32</v>
      </c>
      <c r="I31" s="127" t="s">
        <v>33</v>
      </c>
      <c r="L31" s="92" t="s">
        <v>34</v>
      </c>
      <c r="M31" s="93"/>
      <c r="N31" s="93"/>
      <c r="O31" s="587">
        <v>288</v>
      </c>
      <c r="P31" s="587">
        <v>288</v>
      </c>
      <c r="Q31" s="587">
        <v>339</v>
      </c>
    </row>
    <row r="32" spans="1:19" ht="15.75" thickBot="1" x14ac:dyDescent="0.3">
      <c r="A32" s="91" t="s">
        <v>36</v>
      </c>
      <c r="B32" s="586"/>
      <c r="C32" s="379"/>
      <c r="F32" s="128" t="s">
        <v>34</v>
      </c>
      <c r="G32" s="585">
        <v>80</v>
      </c>
      <c r="H32" s="585">
        <v>62</v>
      </c>
      <c r="I32" s="585">
        <v>85</v>
      </c>
      <c r="L32" s="94" t="s">
        <v>36</v>
      </c>
      <c r="M32" s="95"/>
      <c r="N32" s="95"/>
      <c r="O32" s="95"/>
      <c r="P32" s="95"/>
      <c r="Q32" s="95"/>
    </row>
    <row r="33" spans="1:17" ht="15.75" thickBot="1" x14ac:dyDescent="0.3">
      <c r="A33" s="89" t="s">
        <v>38</v>
      </c>
      <c r="B33" s="586">
        <f>$B$25*G34+(1-$B$25)*H34</f>
        <v>74.599999999999994</v>
      </c>
      <c r="C33" s="586">
        <v>44</v>
      </c>
      <c r="F33" s="130" t="s">
        <v>36</v>
      </c>
      <c r="G33" s="131"/>
      <c r="H33" s="129"/>
      <c r="I33" s="129"/>
      <c r="L33" s="92" t="s">
        <v>60</v>
      </c>
      <c r="M33" s="95"/>
      <c r="N33" s="93"/>
      <c r="O33" s="587">
        <v>237</v>
      </c>
      <c r="P33" s="587">
        <v>301</v>
      </c>
      <c r="Q33" s="587">
        <v>182</v>
      </c>
    </row>
    <row r="34" spans="1:17" ht="15.75" thickBot="1" x14ac:dyDescent="0.3">
      <c r="A34" s="89" t="s">
        <v>39</v>
      </c>
      <c r="B34" s="586">
        <f t="shared" ref="B34:B40" si="0">$B$25*G35+(1-$B$25)*H35</f>
        <v>60.800000000000004</v>
      </c>
      <c r="C34" s="586">
        <v>44</v>
      </c>
      <c r="F34" s="128" t="s">
        <v>38</v>
      </c>
      <c r="G34" s="585">
        <v>93</v>
      </c>
      <c r="H34" s="585">
        <v>70</v>
      </c>
      <c r="I34" s="585">
        <v>44</v>
      </c>
      <c r="L34" s="92" t="s">
        <v>44</v>
      </c>
      <c r="M34" s="95"/>
      <c r="N34" s="93"/>
      <c r="O34" s="587">
        <v>166</v>
      </c>
      <c r="P34" s="587">
        <v>211</v>
      </c>
      <c r="Q34" s="587">
        <v>182</v>
      </c>
    </row>
    <row r="35" spans="1:17" ht="15.75" thickBot="1" x14ac:dyDescent="0.3">
      <c r="A35" s="89" t="s">
        <v>41</v>
      </c>
      <c r="B35" s="586">
        <f t="shared" si="0"/>
        <v>29.800000000000004</v>
      </c>
      <c r="C35" s="586">
        <v>44</v>
      </c>
      <c r="F35" s="128" t="s">
        <v>39</v>
      </c>
      <c r="G35" s="585">
        <v>76</v>
      </c>
      <c r="H35" s="585">
        <v>57</v>
      </c>
      <c r="I35" s="585">
        <v>44</v>
      </c>
      <c r="L35" s="92" t="s">
        <v>61</v>
      </c>
      <c r="M35" s="95"/>
      <c r="N35" s="93"/>
      <c r="O35" s="587">
        <v>142</v>
      </c>
      <c r="P35" s="587">
        <v>211</v>
      </c>
      <c r="Q35" s="587">
        <v>150</v>
      </c>
    </row>
    <row r="36" spans="1:17" ht="15.75" thickBot="1" x14ac:dyDescent="0.3">
      <c r="A36" s="89" t="s">
        <v>44</v>
      </c>
      <c r="B36" s="586">
        <f t="shared" si="0"/>
        <v>18</v>
      </c>
      <c r="C36" s="586">
        <v>23</v>
      </c>
      <c r="F36" s="128" t="s">
        <v>41</v>
      </c>
      <c r="G36" s="585">
        <v>37</v>
      </c>
      <c r="H36" s="585">
        <v>28</v>
      </c>
      <c r="I36" s="585">
        <v>44</v>
      </c>
      <c r="L36" s="92" t="s">
        <v>52</v>
      </c>
      <c r="M36" s="95"/>
      <c r="N36" s="93"/>
      <c r="O36" s="587">
        <v>339</v>
      </c>
      <c r="P36" s="587">
        <v>339</v>
      </c>
      <c r="Q36" s="587">
        <v>339</v>
      </c>
    </row>
    <row r="37" spans="1:17" ht="15.75" x14ac:dyDescent="0.25">
      <c r="A37" s="4" t="s">
        <v>48</v>
      </c>
      <c r="B37" s="586">
        <f t="shared" si="0"/>
        <v>8.8000000000000007</v>
      </c>
      <c r="C37" s="586">
        <v>23</v>
      </c>
      <c r="F37" s="128" t="s">
        <v>44</v>
      </c>
      <c r="G37" s="585">
        <v>22</v>
      </c>
      <c r="H37" s="585">
        <v>17</v>
      </c>
      <c r="I37" s="585">
        <v>23</v>
      </c>
      <c r="L37" s="372" t="s">
        <v>844</v>
      </c>
    </row>
    <row r="38" spans="1:17" x14ac:dyDescent="0.25">
      <c r="A38" s="4" t="s">
        <v>51</v>
      </c>
      <c r="B38" s="586">
        <f t="shared" si="0"/>
        <v>8.8000000000000007</v>
      </c>
      <c r="C38" s="586">
        <v>17</v>
      </c>
      <c r="F38" s="128" t="s">
        <v>46</v>
      </c>
      <c r="G38" s="585">
        <v>12</v>
      </c>
      <c r="H38" s="585">
        <v>8</v>
      </c>
      <c r="I38" s="585">
        <v>23</v>
      </c>
    </row>
    <row r="39" spans="1:17" x14ac:dyDescent="0.25">
      <c r="A39" s="91" t="s">
        <v>52</v>
      </c>
      <c r="B39" s="90"/>
      <c r="C39" s="379"/>
      <c r="F39" s="128" t="s">
        <v>49</v>
      </c>
      <c r="G39" s="585">
        <v>12</v>
      </c>
      <c r="H39" s="585">
        <v>8</v>
      </c>
      <c r="I39" s="585">
        <v>17</v>
      </c>
    </row>
    <row r="40" spans="1:17" x14ac:dyDescent="0.25">
      <c r="A40" s="89" t="s">
        <v>53</v>
      </c>
      <c r="B40" s="586">
        <f t="shared" si="0"/>
        <v>164.4</v>
      </c>
      <c r="C40" s="586">
        <v>213</v>
      </c>
      <c r="F40" s="130" t="s">
        <v>52</v>
      </c>
      <c r="G40" s="5"/>
      <c r="H40" s="5"/>
      <c r="I40" s="5"/>
    </row>
    <row r="41" spans="1:17" x14ac:dyDescent="0.25">
      <c r="A41" s="89" t="s">
        <v>54</v>
      </c>
      <c r="B41" s="90"/>
      <c r="C41" s="586">
        <v>315</v>
      </c>
      <c r="F41" s="128" t="s">
        <v>53</v>
      </c>
      <c r="G41" s="588">
        <v>202</v>
      </c>
      <c r="H41" s="585">
        <v>155</v>
      </c>
      <c r="I41" s="585">
        <v>213</v>
      </c>
    </row>
    <row r="42" spans="1:17" x14ac:dyDescent="0.25">
      <c r="A42" s="6"/>
      <c r="C42" s="117"/>
      <c r="F42" s="128" t="s">
        <v>54</v>
      </c>
      <c r="G42" s="129"/>
      <c r="H42" s="129"/>
      <c r="I42" s="585">
        <v>315</v>
      </c>
    </row>
    <row r="43" spans="1:17" ht="15.75" x14ac:dyDescent="0.25">
      <c r="A43" s="241" t="s">
        <v>698</v>
      </c>
      <c r="F43" s="372" t="s">
        <v>844</v>
      </c>
      <c r="G43" s="133"/>
      <c r="H43" s="134"/>
      <c r="I43" s="134"/>
    </row>
    <row r="44" spans="1:17" x14ac:dyDescent="0.25">
      <c r="A44" s="241" t="s">
        <v>699</v>
      </c>
    </row>
    <row r="46" spans="1:17" ht="18.75" x14ac:dyDescent="0.3">
      <c r="A46" s="383" t="s">
        <v>703</v>
      </c>
      <c r="B46" s="120"/>
      <c r="C46" s="120" t="s">
        <v>747</v>
      </c>
      <c r="D46" s="120"/>
      <c r="E46" s="120"/>
      <c r="F46" s="120"/>
      <c r="G46" s="120"/>
    </row>
    <row r="47" spans="1:17" x14ac:dyDescent="0.25">
      <c r="A47" s="121" t="s">
        <v>845</v>
      </c>
      <c r="B47" s="120"/>
      <c r="C47" s="120"/>
      <c r="D47" s="120"/>
      <c r="E47" s="120"/>
      <c r="F47" s="120"/>
      <c r="G47" s="120"/>
    </row>
    <row r="48" spans="1:17" x14ac:dyDescent="0.25">
      <c r="A48" s="126" t="s">
        <v>846</v>
      </c>
      <c r="B48" s="120"/>
      <c r="C48" s="120"/>
      <c r="D48" s="120"/>
      <c r="E48" s="120"/>
      <c r="F48" s="120"/>
      <c r="G48" s="120"/>
    </row>
    <row r="49" spans="1:19" x14ac:dyDescent="0.25">
      <c r="A49" s="120" t="s">
        <v>35</v>
      </c>
      <c r="B49" s="120"/>
      <c r="C49" s="120"/>
      <c r="D49" s="120"/>
      <c r="E49" s="120"/>
      <c r="F49" s="120"/>
      <c r="G49" s="120"/>
    </row>
    <row r="50" spans="1:19" x14ac:dyDescent="0.25">
      <c r="A50" s="120" t="s">
        <v>37</v>
      </c>
      <c r="B50" s="120"/>
      <c r="C50" s="120"/>
      <c r="D50" s="120"/>
      <c r="E50" s="120"/>
      <c r="F50" s="120"/>
      <c r="G50" s="120"/>
    </row>
    <row r="51" spans="1:19" x14ac:dyDescent="0.25">
      <c r="A51" s="120" t="s">
        <v>700</v>
      </c>
      <c r="B51" s="120"/>
      <c r="C51" s="120"/>
      <c r="D51" s="120"/>
      <c r="E51" s="120"/>
      <c r="F51" s="120"/>
      <c r="G51" s="120"/>
    </row>
    <row r="52" spans="1:19" x14ac:dyDescent="0.25">
      <c r="A52" s="120"/>
      <c r="B52" s="120"/>
      <c r="C52" s="120"/>
      <c r="D52" s="120" t="s">
        <v>40</v>
      </c>
      <c r="E52" s="120"/>
      <c r="F52" s="120"/>
      <c r="G52" s="377" t="s">
        <v>701</v>
      </c>
      <c r="H52" s="382" t="s">
        <v>702</v>
      </c>
    </row>
    <row r="53" spans="1:19" x14ac:dyDescent="0.25">
      <c r="A53" s="86" t="s">
        <v>42</v>
      </c>
      <c r="B53" s="120"/>
      <c r="C53" s="120"/>
      <c r="D53" s="70" t="s">
        <v>847</v>
      </c>
      <c r="E53" s="120"/>
      <c r="F53" s="120" t="s">
        <v>43</v>
      </c>
      <c r="G53" s="589">
        <v>-1.8E-3</v>
      </c>
      <c r="H53" s="589">
        <v>0.84099999999999997</v>
      </c>
    </row>
    <row r="54" spans="1:19" x14ac:dyDescent="0.25">
      <c r="A54" s="86" t="s">
        <v>45</v>
      </c>
      <c r="B54" s="120"/>
      <c r="C54" s="120"/>
      <c r="D54" t="s">
        <v>849</v>
      </c>
      <c r="E54" s="120"/>
      <c r="F54" s="120" t="s">
        <v>43</v>
      </c>
      <c r="G54" s="589">
        <v>-8.9999999999999993E-3</v>
      </c>
      <c r="H54" s="589">
        <v>0.68759999999999999</v>
      </c>
    </row>
    <row r="55" spans="1:19" x14ac:dyDescent="0.25">
      <c r="A55" s="86" t="s">
        <v>47</v>
      </c>
      <c r="B55" s="120"/>
      <c r="C55" s="120"/>
      <c r="D55" t="s">
        <v>850</v>
      </c>
      <c r="E55" s="120"/>
      <c r="F55" s="120" t="s">
        <v>43</v>
      </c>
      <c r="G55" s="589">
        <v>-1.2500000000000001E-2</v>
      </c>
      <c r="H55" s="589">
        <v>5.1417000000000002</v>
      </c>
    </row>
    <row r="56" spans="1:19" x14ac:dyDescent="0.25">
      <c r="A56" s="86" t="s">
        <v>50</v>
      </c>
      <c r="B56" s="120"/>
      <c r="C56" s="120"/>
      <c r="D56" t="s">
        <v>848</v>
      </c>
      <c r="E56" s="120"/>
      <c r="F56" s="120" t="s">
        <v>43</v>
      </c>
      <c r="G56" s="589">
        <v>-1.32E-2</v>
      </c>
      <c r="H56" s="589">
        <v>4.2153</v>
      </c>
    </row>
    <row r="57" spans="1:19" ht="15.75" x14ac:dyDescent="0.25">
      <c r="A57" s="86"/>
      <c r="B57" s="120"/>
      <c r="C57" s="120"/>
      <c r="D57" s="70"/>
      <c r="E57" s="120"/>
      <c r="F57" s="120"/>
      <c r="G57" s="372" t="s">
        <v>844</v>
      </c>
    </row>
    <row r="58" spans="1:19" x14ac:dyDescent="0.25">
      <c r="B58" s="120"/>
      <c r="C58" s="120"/>
      <c r="D58" s="70"/>
      <c r="E58" s="120"/>
      <c r="F58" s="120"/>
    </row>
    <row r="59" spans="1:19" ht="18.75" x14ac:dyDescent="0.3">
      <c r="A59" s="367" t="s">
        <v>705</v>
      </c>
      <c r="B59" s="368"/>
      <c r="C59" s="368"/>
      <c r="D59" s="368"/>
      <c r="E59" s="368"/>
      <c r="F59" s="368"/>
      <c r="G59" s="368"/>
      <c r="H59" s="368"/>
      <c r="I59" s="368"/>
      <c r="J59" s="368"/>
      <c r="K59" s="368"/>
      <c r="L59" s="368"/>
      <c r="M59" s="368"/>
      <c r="N59" s="368"/>
      <c r="O59" s="368"/>
      <c r="P59" s="368"/>
      <c r="Q59" s="368"/>
      <c r="R59" s="368"/>
      <c r="S59" s="368"/>
    </row>
    <row r="60" spans="1:19" x14ac:dyDescent="0.25">
      <c r="A60" s="86"/>
      <c r="B60" s="120"/>
      <c r="C60" s="120"/>
      <c r="D60" s="70"/>
      <c r="E60" s="120"/>
      <c r="F60" s="120"/>
    </row>
    <row r="61" spans="1:19" ht="20.25" x14ac:dyDescent="0.3">
      <c r="A61" s="86"/>
      <c r="B61" s="120"/>
      <c r="C61" s="120"/>
      <c r="D61" s="70"/>
      <c r="E61" s="120"/>
      <c r="F61" s="120"/>
      <c r="I61" s="47" t="s">
        <v>111</v>
      </c>
      <c r="J61" s="117"/>
      <c r="K61" s="117"/>
      <c r="L61" s="117"/>
      <c r="M61" s="117"/>
      <c r="N61" s="117"/>
      <c r="O61" s="117"/>
      <c r="P61" s="117"/>
      <c r="Q61" s="117"/>
    </row>
    <row r="62" spans="1:19" x14ac:dyDescent="0.25">
      <c r="A62" s="384" t="s">
        <v>924</v>
      </c>
      <c r="B62" s="120"/>
      <c r="C62" s="120"/>
      <c r="D62" s="120"/>
      <c r="E62" s="120"/>
      <c r="F62" s="120"/>
      <c r="G62" s="120"/>
    </row>
    <row r="63" spans="1:19" ht="15.75" thickBot="1" x14ac:dyDescent="0.3">
      <c r="A63" s="119"/>
      <c r="B63" s="120"/>
      <c r="C63" s="120"/>
      <c r="D63" s="120"/>
      <c r="E63" s="120"/>
      <c r="F63" s="120"/>
      <c r="G63" s="120"/>
    </row>
    <row r="64" spans="1:19" ht="15.75" thickBot="1" x14ac:dyDescent="0.3">
      <c r="A64" s="702" t="s">
        <v>72</v>
      </c>
      <c r="B64" s="705" t="s">
        <v>73</v>
      </c>
      <c r="C64" s="705" t="s">
        <v>74</v>
      </c>
      <c r="D64" s="708" t="s">
        <v>75</v>
      </c>
      <c r="E64" s="709"/>
      <c r="F64" s="709"/>
      <c r="G64" s="710"/>
      <c r="H64" s="429"/>
      <c r="I64" s="2" t="s">
        <v>116</v>
      </c>
      <c r="J64" s="2"/>
      <c r="K64" s="2"/>
      <c r="L64" s="2"/>
      <c r="M64" s="2"/>
    </row>
    <row r="65" spans="1:15" ht="15.75" thickBot="1" x14ac:dyDescent="0.3">
      <c r="A65" s="703"/>
      <c r="B65" s="706"/>
      <c r="C65" s="706"/>
      <c r="D65" s="708" t="s">
        <v>77</v>
      </c>
      <c r="E65" s="710"/>
      <c r="F65" s="711" t="s">
        <v>78</v>
      </c>
      <c r="G65" s="710"/>
      <c r="H65" s="429"/>
      <c r="I65" s="2" t="s">
        <v>117</v>
      </c>
      <c r="J65" s="2"/>
      <c r="K65" s="2"/>
      <c r="L65" s="2"/>
      <c r="M65" s="2"/>
    </row>
    <row r="66" spans="1:15" ht="15.75" thickBot="1" x14ac:dyDescent="0.3">
      <c r="A66" s="704"/>
      <c r="B66" s="707"/>
      <c r="C66" s="707"/>
      <c r="D66" s="103" t="s">
        <v>82</v>
      </c>
      <c r="E66" s="103" t="s">
        <v>83</v>
      </c>
      <c r="F66" s="104" t="s">
        <v>84</v>
      </c>
      <c r="G66" s="104" t="s">
        <v>85</v>
      </c>
      <c r="H66" s="429"/>
      <c r="I66" s="382" t="s">
        <v>119</v>
      </c>
      <c r="J66" s="382" t="s">
        <v>120</v>
      </c>
      <c r="K66" s="382"/>
      <c r="L66" s="382" t="s">
        <v>121</v>
      </c>
      <c r="M66" s="382"/>
      <c r="O66" t="s">
        <v>122</v>
      </c>
    </row>
    <row r="67" spans="1:15" s="696" customFormat="1" ht="15.75" thickBot="1" x14ac:dyDescent="0.3">
      <c r="A67" s="692" t="s">
        <v>86</v>
      </c>
      <c r="B67" s="93">
        <v>266</v>
      </c>
      <c r="C67" s="693">
        <v>0.6</v>
      </c>
      <c r="D67" s="694">
        <v>31.83</v>
      </c>
      <c r="E67" s="694">
        <v>94.44</v>
      </c>
      <c r="F67" s="694">
        <v>0.11899999999999999</v>
      </c>
      <c r="G67" s="694">
        <v>0.32400000000000001</v>
      </c>
      <c r="H67" s="429"/>
      <c r="I67" s="476"/>
      <c r="J67" s="695" t="s">
        <v>8</v>
      </c>
      <c r="K67" s="695" t="s">
        <v>123</v>
      </c>
      <c r="L67" s="695" t="s">
        <v>8</v>
      </c>
      <c r="M67" s="695" t="s">
        <v>123</v>
      </c>
      <c r="O67" s="697">
        <f>'Kalkylvärden 1'!B23</f>
        <v>0.4</v>
      </c>
    </row>
    <row r="68" spans="1:15" ht="16.5" thickBot="1" x14ac:dyDescent="0.3">
      <c r="A68" s="626" t="s">
        <v>925</v>
      </c>
      <c r="B68" s="587">
        <v>150</v>
      </c>
      <c r="C68" s="627">
        <v>0.5</v>
      </c>
      <c r="D68" s="628">
        <v>22.11</v>
      </c>
      <c r="E68" s="628">
        <v>63.08</v>
      </c>
      <c r="F68" s="628">
        <v>0.11</v>
      </c>
      <c r="G68" s="628">
        <v>0.17</v>
      </c>
      <c r="H68" s="618"/>
      <c r="I68" s="387" t="s">
        <v>124</v>
      </c>
      <c r="J68" s="590">
        <v>0.14899999999999999</v>
      </c>
      <c r="K68" s="591">
        <v>6.508</v>
      </c>
      <c r="L68" s="591">
        <v>0.159</v>
      </c>
      <c r="M68" s="591">
        <v>6.508</v>
      </c>
      <c r="O68" s="372" t="s">
        <v>844</v>
      </c>
    </row>
    <row r="69" spans="1:15" s="696" customFormat="1" ht="15.75" thickBot="1" x14ac:dyDescent="0.3">
      <c r="A69" s="692" t="s">
        <v>90</v>
      </c>
      <c r="B69" s="93">
        <v>240</v>
      </c>
      <c r="C69" s="693">
        <v>0.4</v>
      </c>
      <c r="D69" s="694">
        <v>27.91</v>
      </c>
      <c r="E69" s="694">
        <v>34.97</v>
      </c>
      <c r="F69" s="694">
        <v>0.115</v>
      </c>
      <c r="G69" s="694">
        <v>0.121</v>
      </c>
      <c r="H69" s="429"/>
      <c r="I69" s="698" t="s">
        <v>126</v>
      </c>
      <c r="J69" s="592">
        <v>0.22</v>
      </c>
      <c r="K69" s="593">
        <v>11.28</v>
      </c>
      <c r="L69" s="593">
        <v>0.24</v>
      </c>
      <c r="M69" s="593">
        <v>11.28</v>
      </c>
    </row>
    <row r="70" spans="1:15" s="696" customFormat="1" ht="15.75" thickBot="1" x14ac:dyDescent="0.3">
      <c r="A70" s="692" t="s">
        <v>89</v>
      </c>
      <c r="B70" s="93">
        <v>180</v>
      </c>
      <c r="C70" s="693">
        <v>0.4</v>
      </c>
      <c r="D70" s="694">
        <v>20.07</v>
      </c>
      <c r="E70" s="694">
        <v>30.22</v>
      </c>
      <c r="F70" s="694">
        <v>0.111</v>
      </c>
      <c r="G70" s="694">
        <v>0.13900000000000001</v>
      </c>
      <c r="H70" s="429"/>
      <c r="I70" s="698" t="s">
        <v>128</v>
      </c>
      <c r="J70" s="592">
        <v>0.17</v>
      </c>
      <c r="K70" s="593">
        <v>7.9550000000000001</v>
      </c>
      <c r="L70" s="593">
        <v>0.19</v>
      </c>
      <c r="M70" s="593">
        <v>7.9550000000000001</v>
      </c>
    </row>
    <row r="71" spans="1:15" ht="15.75" thickBot="1" x14ac:dyDescent="0.3">
      <c r="A71" s="626" t="s">
        <v>926</v>
      </c>
      <c r="B71" s="587">
        <v>150</v>
      </c>
      <c r="C71" s="627">
        <v>0.35</v>
      </c>
      <c r="D71" s="628">
        <v>40.950000000000003</v>
      </c>
      <c r="E71" s="628">
        <v>71.27</v>
      </c>
      <c r="F71" s="628">
        <v>0.26</v>
      </c>
      <c r="G71" s="628">
        <v>0.24</v>
      </c>
      <c r="H71" s="618"/>
      <c r="I71" s="387" t="s">
        <v>129</v>
      </c>
      <c r="J71" s="592">
        <v>0.11</v>
      </c>
      <c r="K71" s="593">
        <v>5.13</v>
      </c>
      <c r="L71" s="593">
        <v>0.11899999999999999</v>
      </c>
      <c r="M71" s="593">
        <v>5.13</v>
      </c>
    </row>
    <row r="72" spans="1:15" s="696" customFormat="1" ht="15.75" thickBot="1" x14ac:dyDescent="0.3">
      <c r="A72" s="692" t="s">
        <v>93</v>
      </c>
      <c r="B72" s="93">
        <v>230</v>
      </c>
      <c r="C72" s="693">
        <v>0.5</v>
      </c>
      <c r="D72" s="694">
        <v>34</v>
      </c>
      <c r="E72" s="694">
        <v>77.989999999999995</v>
      </c>
      <c r="F72" s="694">
        <v>0.111</v>
      </c>
      <c r="G72" s="694">
        <v>0.23200000000000001</v>
      </c>
      <c r="I72" s="698" t="s">
        <v>131</v>
      </c>
      <c r="J72" s="592">
        <v>9.7000000000000003E-2</v>
      </c>
      <c r="K72" s="593">
        <v>4.4809999999999999</v>
      </c>
      <c r="L72" s="593">
        <v>0.10299999999999999</v>
      </c>
      <c r="M72" s="593">
        <v>4.4809999999999999</v>
      </c>
    </row>
    <row r="73" spans="1:15" s="696" customFormat="1" ht="15.75" thickBot="1" x14ac:dyDescent="0.3">
      <c r="A73" s="692" t="s">
        <v>94</v>
      </c>
      <c r="B73" s="93">
        <v>300</v>
      </c>
      <c r="C73" s="693">
        <v>0.6</v>
      </c>
      <c r="D73" s="694">
        <v>54.98</v>
      </c>
      <c r="E73" s="694">
        <v>141.72</v>
      </c>
      <c r="F73" s="694">
        <v>0.184</v>
      </c>
      <c r="G73" s="694">
        <v>0.376</v>
      </c>
      <c r="I73" s="698" t="s">
        <v>134</v>
      </c>
      <c r="J73" s="592">
        <v>6.9000000000000006E-2</v>
      </c>
      <c r="K73" s="593">
        <v>2.2789999999999999</v>
      </c>
      <c r="L73" s="699"/>
      <c r="M73" s="699"/>
    </row>
    <row r="74" spans="1:15" s="696" customFormat="1" ht="15.75" thickBot="1" x14ac:dyDescent="0.3">
      <c r="A74" s="692" t="s">
        <v>96</v>
      </c>
      <c r="B74" s="93">
        <v>180</v>
      </c>
      <c r="C74" s="693">
        <v>0.5</v>
      </c>
      <c r="D74" s="700">
        <v>14.12</v>
      </c>
      <c r="E74" s="700">
        <v>49.12</v>
      </c>
      <c r="F74" s="700">
        <v>5.6000000000000001E-2</v>
      </c>
      <c r="G74" s="700">
        <v>0.17100000000000001</v>
      </c>
      <c r="I74" s="698" t="s">
        <v>139</v>
      </c>
      <c r="J74" s="592">
        <v>6.0999999999999999E-2</v>
      </c>
      <c r="K74" s="593">
        <v>1.9990000000000001</v>
      </c>
      <c r="L74" s="699"/>
      <c r="M74" s="699"/>
    </row>
    <row r="75" spans="1:15" ht="16.5" thickBot="1" x14ac:dyDescent="0.3">
      <c r="A75" s="372" t="s">
        <v>944</v>
      </c>
      <c r="B75" s="120"/>
      <c r="C75" s="120"/>
      <c r="D75" s="120"/>
      <c r="E75" s="120"/>
      <c r="F75" s="120"/>
      <c r="G75" s="120"/>
      <c r="I75" s="387" t="s">
        <v>142</v>
      </c>
      <c r="J75" s="592">
        <v>0.13600000000000001</v>
      </c>
      <c r="K75" s="593">
        <v>6.3769999999999998</v>
      </c>
      <c r="L75" s="593">
        <v>0.14799999999999999</v>
      </c>
      <c r="M75" s="593">
        <v>6.3769999999999998</v>
      </c>
    </row>
    <row r="76" spans="1:15" ht="15.75" x14ac:dyDescent="0.25">
      <c r="A76" s="372"/>
      <c r="B76" s="120"/>
      <c r="C76" s="120"/>
      <c r="D76" s="120"/>
      <c r="E76" s="120"/>
      <c r="F76" s="622" t="s">
        <v>886</v>
      </c>
      <c r="G76" s="623"/>
      <c r="I76" s="372" t="s">
        <v>844</v>
      </c>
    </row>
    <row r="77" spans="1:15" ht="15.75" x14ac:dyDescent="0.25">
      <c r="A77" s="136" t="s">
        <v>100</v>
      </c>
      <c r="B77" s="120"/>
      <c r="C77" s="120"/>
      <c r="D77" s="120"/>
      <c r="E77" t="s">
        <v>894</v>
      </c>
      <c r="F77" s="624" t="s">
        <v>884</v>
      </c>
      <c r="G77" s="625" t="s">
        <v>885</v>
      </c>
      <c r="I77" s="372"/>
    </row>
    <row r="78" spans="1:15" ht="15.75" thickBot="1" x14ac:dyDescent="0.3">
      <c r="A78" s="377"/>
      <c r="B78" s="385" t="s">
        <v>102</v>
      </c>
      <c r="C78" s="385" t="s">
        <v>103</v>
      </c>
      <c r="D78" s="123"/>
      <c r="E78" s="429">
        <f>IF('Person UA1'!B63=0,(F78),G78)</f>
        <v>1.83E-2</v>
      </c>
      <c r="F78" s="630">
        <v>2.3800000000000002E-2</v>
      </c>
      <c r="G78" s="629">
        <v>1.83E-2</v>
      </c>
      <c r="I78" s="382" t="s">
        <v>146</v>
      </c>
      <c r="J78" s="382"/>
      <c r="K78" s="382"/>
    </row>
    <row r="79" spans="1:15" ht="15.75" thickBot="1" x14ac:dyDescent="0.3">
      <c r="A79" s="377" t="s">
        <v>107</v>
      </c>
      <c r="B79" s="589">
        <v>6.17</v>
      </c>
      <c r="C79" s="589">
        <v>5.69</v>
      </c>
      <c r="D79" s="120"/>
      <c r="E79" s="23"/>
      <c r="F79" s="621" t="s">
        <v>856</v>
      </c>
      <c r="G79" s="120"/>
      <c r="I79" s="382"/>
      <c r="J79" s="382"/>
      <c r="K79" s="388"/>
    </row>
    <row r="80" spans="1:15" ht="15.75" x14ac:dyDescent="0.25">
      <c r="A80" s="372" t="s">
        <v>844</v>
      </c>
      <c r="F80" s="622" t="s">
        <v>886</v>
      </c>
      <c r="G80" s="623"/>
      <c r="I80" s="382"/>
      <c r="J80" s="387" t="s">
        <v>149</v>
      </c>
      <c r="K80" s="382" t="s">
        <v>150</v>
      </c>
    </row>
    <row r="81" spans="1:14" ht="15.75" thickBot="1" x14ac:dyDescent="0.3">
      <c r="E81" t="s">
        <v>895</v>
      </c>
      <c r="F81" s="624" t="s">
        <v>884</v>
      </c>
      <c r="G81" s="625" t="s">
        <v>885</v>
      </c>
      <c r="I81" s="382" t="s">
        <v>152</v>
      </c>
      <c r="J81" s="389"/>
      <c r="K81" s="594">
        <v>80</v>
      </c>
    </row>
    <row r="82" spans="1:14" ht="15.75" thickBot="1" x14ac:dyDescent="0.3">
      <c r="E82" s="429">
        <f>IF('Person UA2'!B63=0,(F82),G82)</f>
        <v>2.3800000000000002E-2</v>
      </c>
      <c r="F82" s="630">
        <v>2.3800000000000002E-2</v>
      </c>
      <c r="G82" s="629">
        <v>1.83E-2</v>
      </c>
      <c r="I82" s="382" t="s">
        <v>154</v>
      </c>
      <c r="J82" s="594">
        <v>13</v>
      </c>
      <c r="K82" s="389">
        <v>35</v>
      </c>
    </row>
    <row r="83" spans="1:14" ht="15.75" thickBot="1" x14ac:dyDescent="0.3">
      <c r="F83" s="621" t="s">
        <v>856</v>
      </c>
      <c r="I83" s="382" t="s">
        <v>155</v>
      </c>
      <c r="J83" s="594">
        <v>21</v>
      </c>
      <c r="K83" s="389">
        <v>76</v>
      </c>
    </row>
    <row r="84" spans="1:14" ht="15.75" x14ac:dyDescent="0.25">
      <c r="I84" s="372" t="s">
        <v>844</v>
      </c>
    </row>
    <row r="86" spans="1:14" ht="18.75" x14ac:dyDescent="0.3">
      <c r="A86" s="390" t="s">
        <v>706</v>
      </c>
      <c r="B86" s="383"/>
      <c r="C86" s="383"/>
      <c r="D86" s="383"/>
      <c r="E86" s="120"/>
      <c r="F86" s="109"/>
      <c r="G86" s="109"/>
      <c r="H86" s="109"/>
    </row>
    <row r="87" spans="1:14" x14ac:dyDescent="0.25">
      <c r="A87" s="99"/>
      <c r="B87" s="120"/>
      <c r="C87" s="120"/>
      <c r="D87" s="120"/>
      <c r="E87" s="120"/>
      <c r="F87" s="109"/>
      <c r="G87" s="109"/>
      <c r="H87" s="109"/>
    </row>
    <row r="88" spans="1:14" x14ac:dyDescent="0.25">
      <c r="A88" s="99" t="s">
        <v>162</v>
      </c>
      <c r="B88" s="120"/>
      <c r="C88" s="120"/>
      <c r="D88" s="120"/>
      <c r="E88" s="120"/>
      <c r="F88" s="109"/>
      <c r="G88" s="109"/>
      <c r="H88" s="109"/>
    </row>
    <row r="89" spans="1:14" x14ac:dyDescent="0.25">
      <c r="A89" s="99"/>
      <c r="B89" s="120"/>
      <c r="C89" s="120"/>
      <c r="D89" s="120"/>
      <c r="E89" s="120"/>
      <c r="F89" s="109"/>
      <c r="G89" s="109"/>
      <c r="H89" s="109"/>
    </row>
    <row r="90" spans="1:14" x14ac:dyDescent="0.25">
      <c r="A90" s="110" t="s">
        <v>164</v>
      </c>
      <c r="B90" s="120"/>
      <c r="C90" s="120"/>
      <c r="D90" s="120"/>
      <c r="E90" s="120"/>
      <c r="F90" s="109"/>
      <c r="G90" s="109"/>
      <c r="H90" s="109"/>
    </row>
    <row r="91" spans="1:14" x14ac:dyDescent="0.25">
      <c r="A91" s="108"/>
      <c r="B91" s="120"/>
      <c r="C91" s="120"/>
      <c r="D91" s="120"/>
      <c r="E91" s="120"/>
      <c r="F91" s="109"/>
      <c r="G91" s="109"/>
      <c r="H91" s="109"/>
    </row>
    <row r="92" spans="1:14" x14ac:dyDescent="0.25">
      <c r="A92" s="111" t="s">
        <v>166</v>
      </c>
      <c r="B92" s="120"/>
      <c r="C92" s="120"/>
      <c r="D92" s="120"/>
      <c r="E92" s="120"/>
      <c r="F92" s="109"/>
      <c r="G92" s="109"/>
      <c r="H92" s="109"/>
    </row>
    <row r="93" spans="1:14" x14ac:dyDescent="0.25">
      <c r="A93" s="108"/>
      <c r="B93" s="120"/>
      <c r="C93" s="120"/>
      <c r="D93" s="120"/>
      <c r="E93" s="120"/>
      <c r="F93" s="109"/>
      <c r="G93" s="109"/>
      <c r="H93" s="109"/>
    </row>
    <row r="94" spans="1:14" ht="15.75" x14ac:dyDescent="0.25">
      <c r="A94" s="110" t="s">
        <v>167</v>
      </c>
      <c r="B94" s="120"/>
      <c r="C94" s="120"/>
      <c r="D94" s="120"/>
      <c r="E94" s="120"/>
      <c r="F94" s="109"/>
      <c r="G94" s="12" t="s">
        <v>680</v>
      </c>
      <c r="H94" s="109"/>
      <c r="J94" s="140" t="s">
        <v>168</v>
      </c>
      <c r="K94" s="117"/>
      <c r="L94" s="117"/>
      <c r="M94" s="117"/>
      <c r="N94" s="117"/>
    </row>
    <row r="95" spans="1:14" ht="15.75" thickBot="1" x14ac:dyDescent="0.3">
      <c r="A95" s="108"/>
      <c r="B95" s="120"/>
      <c r="C95" s="120"/>
      <c r="D95" s="120"/>
      <c r="E95" s="120"/>
      <c r="F95" s="109"/>
      <c r="G95" s="392" t="s">
        <v>851</v>
      </c>
      <c r="H95" s="109"/>
      <c r="J95" s="117"/>
      <c r="K95" s="117"/>
      <c r="L95" s="117"/>
      <c r="M95" s="123" t="s">
        <v>2</v>
      </c>
      <c r="N95" s="117"/>
    </row>
    <row r="96" spans="1:14" ht="15.75" thickBot="1" x14ac:dyDescent="0.3">
      <c r="A96" s="102"/>
      <c r="B96" s="101"/>
      <c r="C96" s="101"/>
      <c r="D96" s="106" t="s">
        <v>169</v>
      </c>
      <c r="E96" s="106" t="s">
        <v>170</v>
      </c>
      <c r="F96" s="109"/>
      <c r="G96" s="109" t="s">
        <v>852</v>
      </c>
      <c r="H96" s="109"/>
      <c r="J96" s="112" t="s">
        <v>171</v>
      </c>
      <c r="K96" s="113" t="s">
        <v>172</v>
      </c>
      <c r="L96" s="113" t="s">
        <v>112</v>
      </c>
      <c r="M96" s="117"/>
      <c r="N96" s="117"/>
    </row>
    <row r="97" spans="1:14" ht="15.75" thickBot="1" x14ac:dyDescent="0.3">
      <c r="A97" s="114" t="s">
        <v>82</v>
      </c>
      <c r="B97" s="115" t="s">
        <v>173</v>
      </c>
      <c r="C97" s="115"/>
      <c r="D97" s="595">
        <v>30.9972992</v>
      </c>
      <c r="E97" s="595">
        <v>35.300213759999998</v>
      </c>
      <c r="F97" s="109"/>
      <c r="G97" s="598" t="s">
        <v>681</v>
      </c>
      <c r="H97" s="599">
        <v>400</v>
      </c>
      <c r="J97" s="97" t="s">
        <v>174</v>
      </c>
      <c r="K97" s="603">
        <v>720000</v>
      </c>
      <c r="L97" s="98" t="s">
        <v>855</v>
      </c>
      <c r="M97" s="117"/>
      <c r="N97" s="117"/>
    </row>
    <row r="98" spans="1:14" ht="15.75" thickBot="1" x14ac:dyDescent="0.3">
      <c r="A98" s="114"/>
      <c r="B98" s="115" t="s">
        <v>175</v>
      </c>
      <c r="C98" s="115" t="s">
        <v>176</v>
      </c>
      <c r="D98" s="595">
        <v>1.7716383999999998</v>
      </c>
      <c r="E98" s="595">
        <v>1.7716383999999998</v>
      </c>
      <c r="F98" s="109"/>
      <c r="G98" s="600" t="s">
        <v>682</v>
      </c>
      <c r="H98" s="601">
        <f>0.6*23</f>
        <v>13.799999999999999</v>
      </c>
      <c r="J98" s="97" t="s">
        <v>177</v>
      </c>
      <c r="K98" s="603">
        <v>584000</v>
      </c>
      <c r="L98" s="98" t="s">
        <v>855</v>
      </c>
      <c r="M98" s="117"/>
      <c r="N98" s="117"/>
    </row>
    <row r="99" spans="1:14" ht="15.75" thickBot="1" x14ac:dyDescent="0.3">
      <c r="A99" s="114"/>
      <c r="B99" s="115" t="s">
        <v>178</v>
      </c>
      <c r="C99" s="115" t="s">
        <v>179</v>
      </c>
      <c r="D99" s="595">
        <v>1.2159302400000001</v>
      </c>
      <c r="E99" s="595">
        <v>1.2159302400000001</v>
      </c>
      <c r="F99" s="109"/>
      <c r="G99" s="600" t="s">
        <v>683</v>
      </c>
      <c r="H99" s="601">
        <f>0.4*23</f>
        <v>9.2000000000000011</v>
      </c>
      <c r="J99" s="117" t="s">
        <v>180</v>
      </c>
      <c r="K99" s="117"/>
      <c r="L99" s="117"/>
      <c r="M99" s="604">
        <v>1700</v>
      </c>
      <c r="N99" s="117" t="s">
        <v>181</v>
      </c>
    </row>
    <row r="100" spans="1:14" ht="15.75" thickBot="1" x14ac:dyDescent="0.3">
      <c r="A100" s="114"/>
      <c r="B100" s="115" t="s">
        <v>182</v>
      </c>
      <c r="C100" s="115" t="s">
        <v>183</v>
      </c>
      <c r="D100" s="595">
        <v>2.1935177600000002</v>
      </c>
      <c r="E100" s="595">
        <v>2.1935177600000002</v>
      </c>
      <c r="F100" s="123"/>
      <c r="G100" s="600" t="s">
        <v>684</v>
      </c>
      <c r="H100" s="601">
        <v>0.37</v>
      </c>
      <c r="J100" s="117" t="s">
        <v>184</v>
      </c>
      <c r="K100" s="117"/>
      <c r="L100" s="117"/>
      <c r="M100" s="605">
        <f>K98/M99</f>
        <v>343.52941176470586</v>
      </c>
      <c r="N100" s="117" t="s">
        <v>185</v>
      </c>
    </row>
    <row r="101" spans="1:14" ht="15.75" thickBot="1" x14ac:dyDescent="0.3">
      <c r="A101" s="114"/>
      <c r="B101" s="115" t="s">
        <v>186</v>
      </c>
      <c r="C101" s="115" t="s">
        <v>187</v>
      </c>
      <c r="D101" s="595">
        <v>1.5332956799999999</v>
      </c>
      <c r="E101" s="595">
        <v>1.5332956799999999</v>
      </c>
      <c r="F101" s="109"/>
      <c r="G101" s="600" t="s">
        <v>686</v>
      </c>
      <c r="H101" s="601" t="s">
        <v>685</v>
      </c>
    </row>
    <row r="102" spans="1:14" ht="16.5" thickBot="1" x14ac:dyDescent="0.3">
      <c r="A102" s="114"/>
      <c r="B102" s="115"/>
      <c r="C102" s="115"/>
      <c r="D102" s="596"/>
      <c r="E102" s="596"/>
      <c r="F102" s="109"/>
      <c r="G102" s="600">
        <f>D97+H98*(D98*(1-H100)+D99*H100)+H99*(D100*(1-H100)+D101*H100)</f>
        <v>70.541430686719991</v>
      </c>
      <c r="H102" s="601">
        <f>E97+H98*(E98*(1-H100)+E99*H100)+H99*(E100*(1-H100)+E101*H100)</f>
        <v>74.844345246719996</v>
      </c>
      <c r="J102" s="372" t="s">
        <v>844</v>
      </c>
    </row>
    <row r="103" spans="1:14" ht="15.75" thickBot="1" x14ac:dyDescent="0.3">
      <c r="A103" s="114" t="s">
        <v>83</v>
      </c>
      <c r="B103" s="115" t="s">
        <v>188</v>
      </c>
      <c r="C103" s="115"/>
      <c r="D103" s="597">
        <v>45.782195199999997</v>
      </c>
      <c r="E103" s="597">
        <v>45.782195199999997</v>
      </c>
      <c r="F103" s="109"/>
      <c r="G103" s="600"/>
      <c r="H103" s="601"/>
    </row>
    <row r="104" spans="1:14" ht="15.75" thickBot="1" x14ac:dyDescent="0.3">
      <c r="A104" s="114"/>
      <c r="B104" s="115" t="s">
        <v>175</v>
      </c>
      <c r="C104" s="115" t="s">
        <v>189</v>
      </c>
      <c r="D104" s="597">
        <v>0.21794976000000002</v>
      </c>
      <c r="E104" s="597">
        <v>0.21794976000000002</v>
      </c>
      <c r="F104" s="109"/>
      <c r="G104" s="600" t="s">
        <v>687</v>
      </c>
      <c r="H104" s="601" t="s">
        <v>688</v>
      </c>
    </row>
    <row r="105" spans="1:14" ht="15.75" thickBot="1" x14ac:dyDescent="0.3">
      <c r="A105" s="114"/>
      <c r="B105" s="115" t="s">
        <v>182</v>
      </c>
      <c r="C105" s="115" t="s">
        <v>190</v>
      </c>
      <c r="D105" s="597">
        <v>0.46266528000000001</v>
      </c>
      <c r="E105" s="597">
        <v>0.46266528000000001</v>
      </c>
      <c r="F105" s="109"/>
      <c r="G105" s="600">
        <f>D103+D104*H98+D105*H99</f>
        <v>53.046422463999996</v>
      </c>
      <c r="H105" s="601">
        <f>E103+H98*E104+E105*H99</f>
        <v>53.046422463999996</v>
      </c>
    </row>
    <row r="106" spans="1:14" ht="15.75" x14ac:dyDescent="0.25">
      <c r="A106" s="372" t="s">
        <v>844</v>
      </c>
      <c r="B106" s="109"/>
      <c r="C106" s="109"/>
      <c r="D106" s="109"/>
      <c r="E106" s="109"/>
      <c r="F106" s="109"/>
      <c r="G106" s="372" t="s">
        <v>844</v>
      </c>
      <c r="H106" s="109"/>
    </row>
    <row r="110" spans="1:14" ht="18.75" x14ac:dyDescent="0.25">
      <c r="A110" s="390" t="s">
        <v>859</v>
      </c>
      <c r="E110" s="544" t="s">
        <v>766</v>
      </c>
      <c r="F110" s="544" t="s">
        <v>841</v>
      </c>
      <c r="G110" s="544"/>
      <c r="H110" s="544"/>
    </row>
    <row r="111" spans="1:14" x14ac:dyDescent="0.25">
      <c r="A111" t="s">
        <v>191</v>
      </c>
      <c r="C111" s="433" t="s">
        <v>836</v>
      </c>
      <c r="E111" s="544"/>
      <c r="F111" s="544">
        <v>2011</v>
      </c>
      <c r="G111" s="544">
        <v>2016</v>
      </c>
      <c r="H111" s="544" t="s">
        <v>763</v>
      </c>
    </row>
    <row r="112" spans="1:14" x14ac:dyDescent="0.25">
      <c r="A112" s="608">
        <f>'Beskrivn kalkylvrd'!D10</f>
        <v>0.31881324986958792</v>
      </c>
      <c r="B112" t="s">
        <v>192</v>
      </c>
      <c r="C112" t="s">
        <v>193</v>
      </c>
      <c r="E112" s="544" t="s">
        <v>767</v>
      </c>
      <c r="F112" s="544">
        <v>0.159</v>
      </c>
      <c r="G112" s="544">
        <v>0.30099999999999999</v>
      </c>
      <c r="H112" s="544" t="s">
        <v>769</v>
      </c>
    </row>
    <row r="113" spans="1:19" x14ac:dyDescent="0.25">
      <c r="A113" t="s">
        <v>194</v>
      </c>
      <c r="D113" s="241"/>
      <c r="E113" s="544" t="s">
        <v>768</v>
      </c>
      <c r="F113" s="544">
        <v>20.035</v>
      </c>
      <c r="G113" s="544">
        <v>17.09</v>
      </c>
      <c r="H113" s="544" t="s">
        <v>770</v>
      </c>
    </row>
    <row r="114" spans="1:19" x14ac:dyDescent="0.25">
      <c r="A114" s="606">
        <f>'Beskrivn kalkylvrd'!D13</f>
        <v>17.920000000000002</v>
      </c>
      <c r="B114" t="s">
        <v>195</v>
      </c>
      <c r="C114" t="s">
        <v>196</v>
      </c>
    </row>
    <row r="115" spans="1:19" ht="15.75" x14ac:dyDescent="0.25">
      <c r="A115" s="372" t="s">
        <v>756</v>
      </c>
    </row>
    <row r="118" spans="1:19" x14ac:dyDescent="0.25">
      <c r="A118" s="541" t="s">
        <v>191</v>
      </c>
      <c r="B118" s="542"/>
      <c r="C118" s="542"/>
      <c r="D118" s="543"/>
      <c r="E118" s="544"/>
      <c r="F118" s="544"/>
      <c r="G118" s="544"/>
      <c r="H118" s="544"/>
    </row>
    <row r="119" spans="1:19" x14ac:dyDescent="0.25">
      <c r="A119" s="541">
        <f>0.293-0.134</f>
        <v>0.15899999999999997</v>
      </c>
      <c r="B119" s="542" t="s">
        <v>192</v>
      </c>
      <c r="C119" s="542" t="s">
        <v>193</v>
      </c>
      <c r="D119" s="545" t="s">
        <v>764</v>
      </c>
      <c r="E119" s="544"/>
      <c r="F119" s="544"/>
      <c r="G119" s="544"/>
      <c r="H119" s="544"/>
    </row>
    <row r="120" spans="1:19" x14ac:dyDescent="0.25">
      <c r="A120" s="541" t="s">
        <v>194</v>
      </c>
      <c r="B120" s="542"/>
      <c r="C120" s="542"/>
      <c r="D120" s="543"/>
      <c r="E120" s="544"/>
      <c r="F120" s="544"/>
      <c r="G120" s="544"/>
      <c r="H120" s="544"/>
    </row>
    <row r="121" spans="1:19" x14ac:dyDescent="0.25">
      <c r="A121" s="541">
        <v>20.035</v>
      </c>
      <c r="B121" s="542" t="s">
        <v>195</v>
      </c>
      <c r="C121" s="542" t="s">
        <v>196</v>
      </c>
      <c r="D121" s="543" t="s">
        <v>829</v>
      </c>
      <c r="E121" s="544"/>
      <c r="F121" s="544"/>
      <c r="G121" s="544"/>
      <c r="H121" s="544"/>
    </row>
    <row r="122" spans="1:19" x14ac:dyDescent="0.25">
      <c r="A122" s="546" t="s">
        <v>765</v>
      </c>
      <c r="B122" s="542"/>
      <c r="C122" s="542"/>
      <c r="D122" s="543"/>
      <c r="E122" s="544"/>
      <c r="F122" s="544"/>
      <c r="G122" s="544"/>
      <c r="H122" s="544"/>
    </row>
    <row r="123" spans="1:19" x14ac:dyDescent="0.25">
      <c r="A123" s="544"/>
      <c r="B123" s="544"/>
      <c r="C123" s="544"/>
      <c r="D123" s="543"/>
      <c r="E123" s="544"/>
      <c r="F123" s="544"/>
      <c r="G123" s="544"/>
      <c r="H123" s="544"/>
    </row>
    <row r="124" spans="1:19" ht="18.75" x14ac:dyDescent="0.3">
      <c r="A124" s="367" t="s">
        <v>335</v>
      </c>
      <c r="B124" s="368"/>
      <c r="C124" s="368"/>
      <c r="D124" s="368"/>
      <c r="E124" s="368"/>
      <c r="F124" s="368"/>
      <c r="G124" s="368"/>
      <c r="H124" s="368"/>
      <c r="I124" s="368"/>
      <c r="J124" s="368"/>
      <c r="K124" s="368"/>
      <c r="L124" s="368"/>
      <c r="M124" s="368"/>
      <c r="N124" s="368"/>
      <c r="O124" s="368"/>
      <c r="P124" s="368"/>
      <c r="Q124" s="368"/>
      <c r="R124" s="368"/>
      <c r="S124" s="368"/>
    </row>
    <row r="125" spans="1:19" x14ac:dyDescent="0.25">
      <c r="A125" s="119"/>
      <c r="B125" s="120"/>
      <c r="C125" s="120"/>
      <c r="D125" s="120"/>
      <c r="E125" s="120"/>
      <c r="F125" s="120"/>
    </row>
    <row r="126" spans="1:19" ht="18.75" x14ac:dyDescent="0.25">
      <c r="A126" s="547" t="s">
        <v>62</v>
      </c>
      <c r="B126" s="548"/>
      <c r="C126" s="548"/>
      <c r="D126" s="548"/>
      <c r="E126" s="548"/>
      <c r="F126" s="548"/>
      <c r="G126" s="544"/>
      <c r="H126" s="544"/>
    </row>
    <row r="127" spans="1:19" x14ac:dyDescent="0.25">
      <c r="A127" s="544" t="s">
        <v>63</v>
      </c>
      <c r="B127" s="548"/>
      <c r="C127" s="548"/>
      <c r="D127" s="548"/>
      <c r="E127" s="548"/>
      <c r="F127" s="548"/>
      <c r="G127" s="544"/>
      <c r="H127" s="544"/>
    </row>
    <row r="128" spans="1:19" x14ac:dyDescent="0.25">
      <c r="A128" s="549" t="s">
        <v>64</v>
      </c>
      <c r="B128" s="549" t="s">
        <v>65</v>
      </c>
      <c r="C128" s="550" t="s">
        <v>707</v>
      </c>
      <c r="D128" s="551" t="s">
        <v>67</v>
      </c>
      <c r="E128" s="549" t="s">
        <v>68</v>
      </c>
      <c r="F128" s="548"/>
      <c r="G128" s="544" t="s">
        <v>827</v>
      </c>
      <c r="H128" s="544"/>
    </row>
    <row r="129" spans="1:8" x14ac:dyDescent="0.25">
      <c r="A129" s="549"/>
      <c r="B129" s="549"/>
      <c r="C129" s="549" t="s">
        <v>69</v>
      </c>
      <c r="D129" s="551" t="s">
        <v>69</v>
      </c>
      <c r="E129" s="549" t="s">
        <v>69</v>
      </c>
      <c r="F129" s="555"/>
      <c r="G129" s="544"/>
      <c r="H129" s="544"/>
    </row>
    <row r="130" spans="1:8" x14ac:dyDescent="0.25">
      <c r="A130" s="549" t="s">
        <v>70</v>
      </c>
      <c r="B130" s="549" t="s">
        <v>834</v>
      </c>
      <c r="C130" s="552">
        <v>0.30599999999999999</v>
      </c>
      <c r="D130" s="552">
        <v>0.55000000000000004</v>
      </c>
      <c r="E130" s="552">
        <v>0.24399999999999999</v>
      </c>
      <c r="F130" s="555"/>
      <c r="G130" s="544"/>
      <c r="H130" s="544"/>
    </row>
    <row r="131" spans="1:8" x14ac:dyDescent="0.25">
      <c r="A131" s="549" t="s">
        <v>835</v>
      </c>
      <c r="B131" s="549" t="s">
        <v>834</v>
      </c>
      <c r="C131" s="552">
        <v>1.3089999999999999</v>
      </c>
      <c r="D131" s="552"/>
      <c r="E131" s="553"/>
      <c r="F131" s="555"/>
      <c r="G131" s="544"/>
      <c r="H131" s="544"/>
    </row>
    <row r="132" spans="1:8" x14ac:dyDescent="0.25">
      <c r="A132" s="549" t="s">
        <v>87</v>
      </c>
      <c r="B132" s="549" t="s">
        <v>834</v>
      </c>
      <c r="C132" s="552">
        <v>1.57</v>
      </c>
      <c r="D132" s="552">
        <v>3.71</v>
      </c>
      <c r="E132" s="552">
        <v>2.1399999999999997</v>
      </c>
      <c r="F132" s="555"/>
      <c r="G132" s="544"/>
      <c r="H132" s="544"/>
    </row>
    <row r="133" spans="1:8" ht="15.75" x14ac:dyDescent="0.25">
      <c r="A133" s="554"/>
      <c r="B133" s="555"/>
      <c r="C133" s="555"/>
      <c r="D133" s="556"/>
      <c r="E133" s="548"/>
      <c r="F133" s="555"/>
      <c r="G133" s="544"/>
      <c r="H133" s="544"/>
    </row>
    <row r="134" spans="1:8" x14ac:dyDescent="0.25">
      <c r="A134" s="119"/>
      <c r="B134" s="120"/>
      <c r="C134" s="120"/>
      <c r="D134" s="120"/>
      <c r="E134" s="120"/>
      <c r="F134" s="120"/>
    </row>
    <row r="135" spans="1:8" x14ac:dyDescent="0.25">
      <c r="A135" t="s">
        <v>109</v>
      </c>
      <c r="B135" s="120"/>
      <c r="C135" s="120"/>
      <c r="D135" s="120" t="s">
        <v>110</v>
      </c>
      <c r="E135" s="120"/>
      <c r="F135" s="120"/>
    </row>
    <row r="136" spans="1:8" x14ac:dyDescent="0.25">
      <c r="A136" s="393" t="s">
        <v>112</v>
      </c>
      <c r="B136" s="394" t="s">
        <v>830</v>
      </c>
      <c r="C136" s="394" t="s">
        <v>832</v>
      </c>
      <c r="D136" s="394" t="s">
        <v>831</v>
      </c>
      <c r="E136" s="394" t="s">
        <v>833</v>
      </c>
      <c r="F136" s="395" t="s">
        <v>113</v>
      </c>
    </row>
    <row r="137" spans="1:8" x14ac:dyDescent="0.25">
      <c r="A137" s="393" t="s">
        <v>115</v>
      </c>
      <c r="B137" s="609">
        <v>0.9</v>
      </c>
      <c r="C137" s="609">
        <v>1.77</v>
      </c>
      <c r="D137" s="609">
        <v>0.1</v>
      </c>
      <c r="E137" s="609">
        <v>1.71</v>
      </c>
      <c r="F137" s="589">
        <f>B137*C137+D137*E137</f>
        <v>1.764</v>
      </c>
    </row>
    <row r="138" spans="1:8" ht="15.75" x14ac:dyDescent="0.25">
      <c r="A138" s="372" t="s">
        <v>844</v>
      </c>
      <c r="B138" s="120"/>
      <c r="C138" s="120"/>
      <c r="D138" s="120"/>
      <c r="E138" s="120"/>
      <c r="F138" s="123"/>
    </row>
    <row r="140" spans="1:8" ht="18.75" x14ac:dyDescent="0.25">
      <c r="A140" s="547" t="s">
        <v>71</v>
      </c>
      <c r="B140" s="548"/>
      <c r="C140" s="556" t="s">
        <v>101</v>
      </c>
      <c r="D140" s="548"/>
      <c r="E140" s="548"/>
      <c r="F140" s="548"/>
      <c r="G140" s="548"/>
      <c r="H140" s="548"/>
    </row>
    <row r="141" spans="1:8" x14ac:dyDescent="0.25">
      <c r="A141" s="548"/>
      <c r="B141" s="548"/>
      <c r="C141" s="548"/>
      <c r="D141" s="548"/>
      <c r="E141" s="548"/>
      <c r="F141" s="548"/>
      <c r="G141" s="548"/>
      <c r="H141" s="548"/>
    </row>
    <row r="142" spans="1:8" ht="15.75" thickBot="1" x14ac:dyDescent="0.3">
      <c r="A142" s="544" t="s">
        <v>76</v>
      </c>
      <c r="B142" s="548"/>
      <c r="C142" s="548"/>
      <c r="D142" s="544" t="s">
        <v>367</v>
      </c>
      <c r="E142" s="548"/>
      <c r="F142" s="548"/>
      <c r="G142" s="548"/>
      <c r="H142" s="548"/>
    </row>
    <row r="143" spans="1:8" ht="15.75" thickBot="1" x14ac:dyDescent="0.3">
      <c r="A143" s="557" t="s">
        <v>72</v>
      </c>
      <c r="B143" s="558" t="s">
        <v>79</v>
      </c>
      <c r="C143" s="548"/>
      <c r="D143" s="559" t="s">
        <v>72</v>
      </c>
      <c r="E143" s="558" t="s">
        <v>73</v>
      </c>
      <c r="F143" s="558" t="s">
        <v>80</v>
      </c>
      <c r="G143" s="558" t="s">
        <v>81</v>
      </c>
      <c r="H143" s="548"/>
    </row>
    <row r="144" spans="1:8" ht="15.75" thickBot="1" x14ac:dyDescent="0.3">
      <c r="A144" s="560" t="s">
        <v>86</v>
      </c>
      <c r="B144" s="561">
        <f>0.787/1.34</f>
        <v>0.58731343283582094</v>
      </c>
      <c r="C144" s="548"/>
      <c r="D144" s="562" t="s">
        <v>86</v>
      </c>
      <c r="E144" s="563">
        <v>266</v>
      </c>
      <c r="F144" s="563">
        <v>6.5839999999999996</v>
      </c>
      <c r="G144" s="563">
        <v>1.6000000000000001E-3</v>
      </c>
      <c r="H144" s="548"/>
    </row>
    <row r="145" spans="1:21" ht="15.75" thickBot="1" x14ac:dyDescent="0.3">
      <c r="A145" s="560" t="s">
        <v>88</v>
      </c>
      <c r="B145" s="561">
        <f>1.199/1.34</f>
        <v>0.89477611940298507</v>
      </c>
      <c r="C145" s="548"/>
      <c r="D145" s="562" t="s">
        <v>88</v>
      </c>
      <c r="E145" s="563">
        <v>120</v>
      </c>
      <c r="F145" s="563">
        <v>2.4620000000000002</v>
      </c>
      <c r="G145" s="563">
        <v>1.2999999999999999E-2</v>
      </c>
      <c r="H145" s="548" t="s">
        <v>827</v>
      </c>
    </row>
    <row r="146" spans="1:21" ht="15.75" thickBot="1" x14ac:dyDescent="0.3">
      <c r="A146" s="560" t="s">
        <v>89</v>
      </c>
      <c r="B146" s="561">
        <f>0.832/1.34</f>
        <v>0.62089552238805967</v>
      </c>
      <c r="C146" s="548"/>
      <c r="D146" s="562" t="s">
        <v>89</v>
      </c>
      <c r="E146" s="563">
        <v>180</v>
      </c>
      <c r="F146" s="563">
        <v>2.4620000000000002</v>
      </c>
      <c r="G146" s="563">
        <v>1.0999999999999999E-2</v>
      </c>
      <c r="H146" s="548"/>
    </row>
    <row r="147" spans="1:21" ht="15.75" thickBot="1" x14ac:dyDescent="0.3">
      <c r="A147" s="560" t="s">
        <v>91</v>
      </c>
      <c r="B147" s="561">
        <f>0.973/1.34</f>
        <v>0.7261194029850746</v>
      </c>
      <c r="C147" s="548"/>
      <c r="D147" s="562" t="s">
        <v>91</v>
      </c>
      <c r="E147" s="563">
        <v>240</v>
      </c>
      <c r="F147" s="563">
        <v>3.1459999999999999</v>
      </c>
      <c r="G147" s="563">
        <v>1.0999999999999999E-2</v>
      </c>
      <c r="H147" s="548"/>
    </row>
    <row r="148" spans="1:21" ht="15.75" thickBot="1" x14ac:dyDescent="0.3">
      <c r="A148" s="560" t="s">
        <v>92</v>
      </c>
      <c r="B148" s="561">
        <f>6.2/1.34</f>
        <v>4.6268656716417906</v>
      </c>
      <c r="C148" s="548"/>
      <c r="D148" s="562" t="s">
        <v>92</v>
      </c>
      <c r="E148" s="563">
        <v>86</v>
      </c>
      <c r="F148" s="563">
        <v>1.8140000000000001</v>
      </c>
      <c r="G148" s="563">
        <v>1.4E-2</v>
      </c>
      <c r="H148" s="548"/>
    </row>
    <row r="149" spans="1:21" ht="15.75" thickBot="1" x14ac:dyDescent="0.3">
      <c r="A149" s="560" t="s">
        <v>93</v>
      </c>
      <c r="B149" s="561">
        <f>1.246/1.34</f>
        <v>0.92985074626865671</v>
      </c>
      <c r="C149" s="548"/>
      <c r="D149" s="562" t="s">
        <v>93</v>
      </c>
      <c r="E149" s="563">
        <v>230</v>
      </c>
      <c r="F149" s="563">
        <v>6.6379999999999999</v>
      </c>
      <c r="G149" s="563">
        <v>2.1000000000000001E-2</v>
      </c>
      <c r="H149" s="548"/>
    </row>
    <row r="150" spans="1:21" ht="15.75" thickBot="1" x14ac:dyDescent="0.3">
      <c r="A150" s="560" t="s">
        <v>94</v>
      </c>
      <c r="B150" s="561">
        <f>0.683/1.34</f>
        <v>0.50970149253731345</v>
      </c>
      <c r="C150" s="548"/>
      <c r="D150" s="562" t="s">
        <v>94</v>
      </c>
      <c r="E150" s="561">
        <v>300</v>
      </c>
      <c r="F150" s="563">
        <v>6.71</v>
      </c>
      <c r="G150" s="563">
        <v>2.1000000000000001E-2</v>
      </c>
      <c r="H150" s="548"/>
    </row>
    <row r="151" spans="1:21" ht="15.75" thickBot="1" x14ac:dyDescent="0.3">
      <c r="A151" s="560" t="s">
        <v>95</v>
      </c>
      <c r="B151" s="561">
        <f>0.787/1.34</f>
        <v>0.58731343283582094</v>
      </c>
      <c r="C151" s="548"/>
      <c r="D151" s="562" t="s">
        <v>95</v>
      </c>
      <c r="E151" s="561">
        <v>180</v>
      </c>
      <c r="F151" s="563">
        <v>2.8039999999999998</v>
      </c>
      <c r="G151" s="563">
        <v>1.2E-2</v>
      </c>
      <c r="H151" s="548"/>
      <c r="I151" s="120"/>
      <c r="J151" s="120"/>
      <c r="K151" s="120"/>
      <c r="L151" s="120"/>
      <c r="M151" s="120"/>
      <c r="N151" s="120"/>
      <c r="O151" s="120"/>
      <c r="P151" s="120"/>
    </row>
    <row r="152" spans="1:21" ht="18.75" x14ac:dyDescent="0.3">
      <c r="A152" s="564" t="s">
        <v>97</v>
      </c>
      <c r="B152" s="565"/>
      <c r="C152" s="565"/>
      <c r="D152" s="564" t="s">
        <v>97</v>
      </c>
      <c r="E152" s="548"/>
      <c r="F152" s="548"/>
      <c r="G152" s="548"/>
      <c r="H152" s="548"/>
      <c r="I152" s="120"/>
      <c r="J152" s="120"/>
      <c r="K152" s="120"/>
      <c r="L152" s="120"/>
      <c r="M152" s="120"/>
      <c r="N152" s="120"/>
      <c r="O152" s="120"/>
      <c r="P152" s="120"/>
    </row>
    <row r="153" spans="1:21" x14ac:dyDescent="0.25">
      <c r="H153" s="120"/>
      <c r="I153" s="120"/>
      <c r="J153" s="120"/>
      <c r="K153" s="120"/>
      <c r="L153" s="120"/>
      <c r="M153" s="120"/>
      <c r="N153" s="120"/>
      <c r="O153" s="120"/>
      <c r="P153" s="120"/>
    </row>
    <row r="154" spans="1:21" ht="15.75" x14ac:dyDescent="0.25">
      <c r="A154" s="140" t="s">
        <v>98</v>
      </c>
      <c r="B154" s="429"/>
      <c r="C154" s="429"/>
      <c r="E154" s="120"/>
      <c r="F154" s="120"/>
      <c r="G154" s="120"/>
      <c r="H154" s="120"/>
      <c r="I154" s="120"/>
      <c r="J154" s="120"/>
      <c r="K154" s="120"/>
      <c r="L154" s="120"/>
      <c r="M154" s="120"/>
      <c r="N154" s="120"/>
      <c r="O154" s="120"/>
      <c r="P154" s="120"/>
    </row>
    <row r="155" spans="1:21" s="340" customFormat="1" x14ac:dyDescent="0.25">
      <c r="A155" s="662"/>
      <c r="B155" s="662" t="s">
        <v>98</v>
      </c>
      <c r="C155" s="662"/>
      <c r="D155" s="662" t="s">
        <v>99</v>
      </c>
      <c r="E155" s="120"/>
      <c r="F155" s="120"/>
      <c r="G155" s="120"/>
      <c r="H155" s="120"/>
      <c r="I155" s="120"/>
      <c r="J155" s="120"/>
      <c r="K155" s="120"/>
      <c r="L155" s="120"/>
      <c r="M155" s="120"/>
      <c r="N155" s="120"/>
      <c r="O155" s="120"/>
      <c r="P155" s="120"/>
      <c r="Q155" s="456"/>
      <c r="R155" s="456"/>
      <c r="S155" s="456"/>
      <c r="T155" s="456"/>
      <c r="U155" s="456"/>
    </row>
    <row r="156" spans="1:21" s="340" customFormat="1" x14ac:dyDescent="0.25">
      <c r="A156" s="650" t="s">
        <v>721</v>
      </c>
      <c r="B156" s="650" t="s">
        <v>914</v>
      </c>
      <c r="C156" s="650"/>
      <c r="D156" s="650"/>
      <c r="E156" s="120"/>
      <c r="F156" s="120"/>
      <c r="G156" s="120"/>
      <c r="H156" s="120"/>
      <c r="I156" s="120"/>
      <c r="J156" s="120"/>
      <c r="K156" s="120"/>
      <c r="L156" s="120"/>
      <c r="M156" s="120"/>
      <c r="N156" s="120"/>
      <c r="O156" s="120"/>
      <c r="P156" s="120"/>
      <c r="Q156" s="456"/>
      <c r="R156" s="456"/>
      <c r="S156" s="456"/>
      <c r="T156" s="456"/>
      <c r="U156" s="456"/>
    </row>
    <row r="157" spans="1:21" s="340" customFormat="1" x14ac:dyDescent="0.25">
      <c r="A157" s="650"/>
      <c r="B157" s="663">
        <f>-'Beskrivn kalkylvrd'!C80</f>
        <v>-1.1216436820965825</v>
      </c>
      <c r="C157" s="650" t="s">
        <v>104</v>
      </c>
      <c r="D157" s="664">
        <f>'Beskrivn kalkylvrd'!F80</f>
        <v>0.47270400460064987</v>
      </c>
      <c r="E157" s="120"/>
      <c r="G157" s="433"/>
      <c r="H157" s="433"/>
      <c r="I157" s="120"/>
      <c r="J157" s="120"/>
      <c r="K157" s="120"/>
      <c r="L157" s="120"/>
      <c r="M157" s="120"/>
      <c r="N157" s="120"/>
      <c r="O157" s="120"/>
      <c r="P157" s="120"/>
      <c r="Q157" s="456"/>
      <c r="R157" s="456"/>
      <c r="S157" s="456"/>
      <c r="T157" s="456"/>
      <c r="U157" s="456"/>
    </row>
    <row r="158" spans="1:21" s="340" customFormat="1" x14ac:dyDescent="0.25">
      <c r="A158" s="650" t="s">
        <v>721</v>
      </c>
      <c r="B158" s="650" t="s">
        <v>915</v>
      </c>
      <c r="C158" s="650"/>
      <c r="D158" s="650"/>
      <c r="E158" s="120"/>
      <c r="F158" s="120"/>
      <c r="G158" s="120"/>
      <c r="H158" s="120"/>
      <c r="I158" s="120"/>
      <c r="J158" s="120"/>
      <c r="K158" s="120"/>
      <c r="L158" s="120"/>
      <c r="M158" s="120"/>
      <c r="N158" s="120"/>
      <c r="O158" s="120"/>
      <c r="P158" s="120"/>
      <c r="Q158" s="456"/>
      <c r="R158" s="456"/>
      <c r="S158" s="456"/>
      <c r="T158" s="456"/>
      <c r="U158" s="456"/>
    </row>
    <row r="159" spans="1:21" s="340" customFormat="1" x14ac:dyDescent="0.25">
      <c r="A159" s="650"/>
      <c r="B159" s="663">
        <f>-'Beskrivn kalkylvrd'!C79</f>
        <v>-1.1616436820965825</v>
      </c>
      <c r="C159" s="650" t="s">
        <v>104</v>
      </c>
      <c r="D159" s="664">
        <f>'Beskrivn kalkylvrd'!F79</f>
        <v>0.4696762425900593</v>
      </c>
      <c r="E159" s="120"/>
      <c r="F159" s="120"/>
      <c r="G159" s="120"/>
      <c r="H159" s="120"/>
      <c r="I159" s="120"/>
      <c r="J159" s="120"/>
      <c r="K159" s="120"/>
      <c r="L159" s="120"/>
      <c r="M159" s="120"/>
      <c r="N159" s="120"/>
      <c r="O159" s="120"/>
      <c r="P159" s="120"/>
      <c r="U159" s="457"/>
    </row>
    <row r="160" spans="1:21" s="340" customFormat="1" x14ac:dyDescent="0.25">
      <c r="A160" s="650" t="s">
        <v>916</v>
      </c>
      <c r="B160" s="650">
        <f>'Beskrivn kalkylvrd'!C65</f>
        <v>0.44500000000000006</v>
      </c>
      <c r="C160" s="650" t="s">
        <v>104</v>
      </c>
      <c r="D160" s="650"/>
      <c r="E160" s="120"/>
      <c r="F160" s="120"/>
      <c r="G160" s="120"/>
      <c r="H160" s="120"/>
      <c r="I160" s="120"/>
      <c r="J160" s="120"/>
      <c r="K160" s="120"/>
      <c r="L160" s="120"/>
      <c r="M160" s="120"/>
      <c r="N160" s="120"/>
      <c r="O160" s="120"/>
      <c r="P160" s="120"/>
      <c r="U160" s="457"/>
    </row>
    <row r="161" spans="1:24" s="340" customFormat="1" x14ac:dyDescent="0.25">
      <c r="A161" s="650" t="s">
        <v>721</v>
      </c>
      <c r="B161" s="650" t="s">
        <v>108</v>
      </c>
      <c r="C161" s="650"/>
      <c r="D161" s="650"/>
      <c r="E161" s="120"/>
      <c r="F161" s="120"/>
      <c r="G161" s="433"/>
      <c r="H161" s="120"/>
      <c r="I161" s="120"/>
      <c r="J161" s="120"/>
      <c r="K161" s="120"/>
      <c r="L161" s="120"/>
      <c r="M161" s="120"/>
      <c r="N161" s="120"/>
      <c r="O161" s="120"/>
      <c r="P161" s="120"/>
      <c r="U161" s="457"/>
    </row>
    <row r="162" spans="1:24" s="340" customFormat="1" x14ac:dyDescent="0.25">
      <c r="A162" s="650"/>
      <c r="B162" s="663">
        <f>-'Beskrivn kalkylvrd'!J70</f>
        <v>-1.3044515156997938</v>
      </c>
      <c r="C162" s="650" t="s">
        <v>104</v>
      </c>
      <c r="D162" s="664">
        <f>'Beskrivn kalkylvrd'!L70</f>
        <v>0.37751004016064255</v>
      </c>
      <c r="E162" s="120"/>
      <c r="F162" s="120"/>
      <c r="G162" s="120"/>
      <c r="H162" s="120"/>
      <c r="I162" s="120"/>
      <c r="J162" s="120"/>
      <c r="K162" s="120"/>
      <c r="L162" s="120"/>
      <c r="M162" s="120"/>
      <c r="N162" s="120"/>
      <c r="O162" s="120"/>
      <c r="P162" s="120"/>
      <c r="U162" s="457"/>
    </row>
    <row r="163" spans="1:24" s="340" customFormat="1" x14ac:dyDescent="0.25">
      <c r="A163" s="650" t="s">
        <v>721</v>
      </c>
      <c r="B163" s="650" t="s">
        <v>114</v>
      </c>
      <c r="C163" s="650"/>
      <c r="D163" s="650"/>
      <c r="E163" s="120"/>
      <c r="F163" s="120"/>
      <c r="G163" s="120"/>
      <c r="H163" s="120"/>
      <c r="I163" s="120"/>
      <c r="J163" s="120"/>
      <c r="K163" s="120"/>
      <c r="L163" s="120"/>
      <c r="M163" s="120"/>
      <c r="N163" s="120"/>
      <c r="O163" s="120"/>
      <c r="P163" s="120"/>
      <c r="U163" s="457"/>
    </row>
    <row r="164" spans="1:24" s="340" customFormat="1" x14ac:dyDescent="0.25">
      <c r="A164" s="650"/>
      <c r="B164" s="663">
        <f>-'Beskrivn kalkylvrd'!J71</f>
        <v>-0.90445151569979376</v>
      </c>
      <c r="C164" s="650" t="s">
        <v>104</v>
      </c>
      <c r="D164" s="650">
        <f>'Beskrivn kalkylvrd'!L71</f>
        <v>0.55621301775147924</v>
      </c>
      <c r="E164" s="120"/>
      <c r="F164" s="120"/>
      <c r="G164" s="120"/>
      <c r="H164" s="120"/>
      <c r="I164" s="120"/>
      <c r="J164" s="120"/>
      <c r="K164" s="120"/>
      <c r="L164" s="120"/>
      <c r="M164" s="120"/>
      <c r="N164" s="120"/>
      <c r="O164" s="120"/>
      <c r="P164" s="120"/>
      <c r="U164" s="457"/>
    </row>
    <row r="165" spans="1:24" s="340" customFormat="1" x14ac:dyDescent="0.25">
      <c r="A165" s="650" t="s">
        <v>101</v>
      </c>
      <c r="B165" s="650" t="s">
        <v>918</v>
      </c>
      <c r="C165" s="650"/>
      <c r="D165" s="650"/>
      <c r="E165" s="120"/>
      <c r="F165" s="120"/>
      <c r="G165" s="120"/>
      <c r="H165" s="120"/>
      <c r="I165" s="120"/>
      <c r="J165" s="120"/>
      <c r="K165" s="120"/>
      <c r="L165" s="120"/>
      <c r="M165" s="120"/>
      <c r="N165" s="120"/>
      <c r="O165" s="120"/>
      <c r="P165" s="120"/>
      <c r="U165" s="457"/>
    </row>
    <row r="166" spans="1:24" s="340" customFormat="1" x14ac:dyDescent="0.25">
      <c r="A166" s="650" t="s">
        <v>88</v>
      </c>
      <c r="B166" s="650">
        <f>-'Beskrivn kalkylvrd'!C96</f>
        <v>-2.2999999999999998</v>
      </c>
      <c r="C166" s="650" t="s">
        <v>82</v>
      </c>
      <c r="D166" s="650">
        <f>'Beskrivn kalkylvrd'!G94</f>
        <v>1</v>
      </c>
      <c r="E166" s="120"/>
      <c r="F166" s="120"/>
      <c r="G166" s="120"/>
      <c r="H166" s="120"/>
      <c r="I166" s="120"/>
      <c r="J166" s="120"/>
      <c r="K166" s="120"/>
      <c r="L166" s="120"/>
      <c r="M166" s="120"/>
      <c r="N166" s="120"/>
      <c r="O166" s="120"/>
      <c r="P166" s="120"/>
      <c r="U166" s="457"/>
    </row>
    <row r="167" spans="1:24" s="340" customFormat="1" x14ac:dyDescent="0.25">
      <c r="A167" s="650" t="s">
        <v>118</v>
      </c>
      <c r="B167" s="664">
        <f>-'Beskrivn kalkylvrd'!D96</f>
        <v>-26.271962999014235</v>
      </c>
      <c r="C167" s="650" t="s">
        <v>82</v>
      </c>
      <c r="D167" s="664">
        <f>'Beskrivn kalkylvrd'!H94</f>
        <v>0.24132189894747821</v>
      </c>
      <c r="E167" s="120"/>
      <c r="F167" s="120"/>
      <c r="G167" s="120"/>
      <c r="H167" s="120"/>
      <c r="I167" s="120"/>
      <c r="J167" s="120"/>
      <c r="K167" s="120"/>
      <c r="L167" s="120"/>
      <c r="M167" s="120"/>
      <c r="N167" s="120"/>
      <c r="O167" s="120"/>
      <c r="P167" s="120"/>
      <c r="U167" s="457"/>
    </row>
    <row r="168" spans="1:24" s="340" customFormat="1" x14ac:dyDescent="0.25">
      <c r="A168" s="650" t="s">
        <v>101</v>
      </c>
      <c r="B168" s="650" t="s">
        <v>919</v>
      </c>
      <c r="C168" s="650"/>
      <c r="D168" s="650"/>
      <c r="E168" s="120"/>
      <c r="F168" s="120"/>
      <c r="G168" s="120"/>
      <c r="H168" s="120"/>
      <c r="I168" s="120"/>
      <c r="J168" s="120"/>
      <c r="K168" s="120"/>
      <c r="L168" s="120"/>
      <c r="M168" s="120"/>
      <c r="N168" s="120"/>
      <c r="O168" s="120"/>
      <c r="P168" s="120"/>
      <c r="U168" s="457"/>
    </row>
    <row r="169" spans="1:24" s="340" customFormat="1" x14ac:dyDescent="0.25">
      <c r="A169" s="650" t="s">
        <v>88</v>
      </c>
      <c r="B169" s="650">
        <f>-'Beskrivn kalkylvrd'!C95</f>
        <v>-7.71</v>
      </c>
      <c r="C169" s="650" t="s">
        <v>82</v>
      </c>
      <c r="D169" s="664">
        <f>'Beskrivn kalkylvrd'!G93</f>
        <v>0.29831387808041504</v>
      </c>
      <c r="E169" s="120"/>
      <c r="F169" s="120"/>
      <c r="G169" s="503"/>
      <c r="H169" s="120"/>
      <c r="I169" s="120"/>
      <c r="J169" s="120"/>
      <c r="K169" s="120"/>
      <c r="L169" s="120"/>
      <c r="M169" s="120"/>
      <c r="N169" s="120"/>
      <c r="O169" s="120"/>
      <c r="P169" s="120"/>
      <c r="U169" s="457"/>
    </row>
    <row r="170" spans="1:24" s="340" customFormat="1" x14ac:dyDescent="0.25">
      <c r="A170" s="650" t="s">
        <v>118</v>
      </c>
      <c r="B170" s="664">
        <f>-'Beskrivn kalkylvrd'!D95</f>
        <v>-31.521962999014235</v>
      </c>
      <c r="C170" s="650" t="s">
        <v>82</v>
      </c>
      <c r="D170" s="664">
        <f>'Beskrivn kalkylvrd'!H93</f>
        <v>0.20112960605271527</v>
      </c>
      <c r="E170" s="120"/>
      <c r="F170" s="120"/>
      <c r="G170" s="503"/>
      <c r="H170" s="120"/>
      <c r="I170" s="120"/>
      <c r="J170" s="120"/>
      <c r="K170" s="120"/>
      <c r="L170" s="120"/>
      <c r="M170" s="120"/>
      <c r="N170" s="120"/>
      <c r="O170" s="120"/>
      <c r="P170" s="120"/>
      <c r="U170" s="457"/>
    </row>
    <row r="171" spans="1:24" s="340" customFormat="1" x14ac:dyDescent="0.25">
      <c r="A171" s="377"/>
      <c r="B171" s="377"/>
      <c r="C171" s="377"/>
      <c r="D171" s="377"/>
      <c r="E171" s="120"/>
      <c r="F171" s="120"/>
      <c r="G171" s="120"/>
      <c r="H171" s="120"/>
      <c r="I171" s="120"/>
      <c r="J171" s="120"/>
      <c r="K171" s="120"/>
      <c r="L171" s="120"/>
      <c r="M171" s="120"/>
      <c r="N171" s="120"/>
      <c r="O171" s="120"/>
      <c r="P171" s="120"/>
      <c r="W171" s="457"/>
    </row>
    <row r="172" spans="1:24" x14ac:dyDescent="0.25">
      <c r="A172" s="433" t="s">
        <v>836</v>
      </c>
      <c r="B172" s="120"/>
      <c r="C172" s="120"/>
      <c r="D172" s="120"/>
      <c r="E172" s="120"/>
      <c r="F172" s="120"/>
      <c r="G172" s="120"/>
      <c r="H172" s="120"/>
      <c r="I172" s="120"/>
      <c r="J172" s="120"/>
      <c r="X172" s="122"/>
    </row>
    <row r="173" spans="1:24" x14ac:dyDescent="0.25">
      <c r="A173" s="120"/>
      <c r="B173" s="120"/>
      <c r="C173" s="120"/>
      <c r="D173" s="120"/>
      <c r="E173" s="120"/>
      <c r="G173" s="120"/>
      <c r="I173" s="120"/>
      <c r="J173" s="120"/>
      <c r="P173" s="120"/>
      <c r="Q173" s="120"/>
      <c r="R173" s="120"/>
      <c r="S173" s="120"/>
      <c r="T173" s="120"/>
      <c r="U173" s="120"/>
      <c r="V173" s="120"/>
      <c r="W173" s="120"/>
      <c r="X173" s="122"/>
    </row>
    <row r="174" spans="1:24" x14ac:dyDescent="0.25">
      <c r="A174" s="120"/>
      <c r="B174" s="120"/>
      <c r="C174" s="120"/>
      <c r="D174" s="120"/>
      <c r="E174" s="120"/>
      <c r="F174" s="120"/>
      <c r="G174" s="120"/>
      <c r="H174" s="120"/>
      <c r="I174" s="120"/>
      <c r="O174" s="120"/>
      <c r="P174" s="120"/>
      <c r="Q174" s="120"/>
      <c r="R174" s="120"/>
      <c r="S174" s="120"/>
      <c r="T174" s="120"/>
      <c r="U174" s="120"/>
      <c r="V174" s="120"/>
      <c r="W174" s="122"/>
    </row>
    <row r="175" spans="1:24" ht="15.75" x14ac:dyDescent="0.25">
      <c r="A175" s="120"/>
      <c r="B175" s="120"/>
      <c r="C175" s="20"/>
      <c r="D175" s="120"/>
      <c r="E175" s="120"/>
      <c r="F175" s="120"/>
      <c r="G175" s="120"/>
      <c r="O175" s="135" t="s">
        <v>127</v>
      </c>
      <c r="P175" s="120"/>
      <c r="Q175" s="120"/>
      <c r="R175" s="120"/>
      <c r="S175" s="120"/>
      <c r="T175" s="120"/>
      <c r="U175" s="120"/>
      <c r="V175" s="120"/>
      <c r="W175" s="122"/>
    </row>
    <row r="176" spans="1:24" ht="15.75" x14ac:dyDescent="0.25">
      <c r="A176" s="140" t="s">
        <v>111</v>
      </c>
      <c r="B176" s="120"/>
      <c r="D176" s="120"/>
      <c r="E176" s="120"/>
      <c r="F176" s="120"/>
      <c r="G176" s="120"/>
      <c r="O176" s="120"/>
      <c r="P176" s="120"/>
      <c r="Q176" s="120"/>
      <c r="R176" s="120"/>
      <c r="S176" s="120"/>
      <c r="T176" s="120"/>
      <c r="U176" s="120"/>
      <c r="V176" s="120"/>
      <c r="W176" s="122"/>
    </row>
    <row r="177" spans="1:24" x14ac:dyDescent="0.25">
      <c r="A177" s="86" t="s">
        <v>125</v>
      </c>
      <c r="B177" s="120"/>
      <c r="C177" s="120"/>
      <c r="D177" s="120"/>
      <c r="E177" s="120"/>
      <c r="F177" s="86" t="s">
        <v>111</v>
      </c>
      <c r="G177" s="120"/>
      <c r="O177" s="137" t="s">
        <v>130</v>
      </c>
      <c r="P177" s="120"/>
      <c r="Q177" s="120"/>
      <c r="R177" s="120"/>
      <c r="S177" s="137" t="s">
        <v>130</v>
      </c>
      <c r="T177" s="120"/>
      <c r="U177" s="120"/>
      <c r="V177" s="120"/>
      <c r="W177" s="122"/>
    </row>
    <row r="178" spans="1:24" ht="15.75" thickBot="1" x14ac:dyDescent="0.3">
      <c r="A178" s="572"/>
      <c r="B178" s="572"/>
      <c r="C178" s="648" t="s">
        <v>99</v>
      </c>
      <c r="D178" s="648" t="s">
        <v>136</v>
      </c>
      <c r="E178" s="572"/>
      <c r="F178" s="572"/>
      <c r="G178" s="648" t="s">
        <v>99</v>
      </c>
      <c r="H178" s="146"/>
      <c r="N178" s="96" t="s">
        <v>132</v>
      </c>
      <c r="O178" s="120"/>
      <c r="P178" s="120"/>
      <c r="Q178" s="120"/>
      <c r="R178" s="96" t="s">
        <v>133</v>
      </c>
      <c r="S178" s="120"/>
      <c r="T178" s="120"/>
      <c r="U178" s="120"/>
      <c r="V178" s="122"/>
    </row>
    <row r="179" spans="1:24" ht="15.75" thickBot="1" x14ac:dyDescent="0.3">
      <c r="A179" s="649" t="s">
        <v>140</v>
      </c>
      <c r="B179" s="650"/>
      <c r="C179" s="650"/>
      <c r="D179" s="651" t="s">
        <v>101</v>
      </c>
      <c r="E179" s="649" t="s">
        <v>140</v>
      </c>
      <c r="F179" s="650"/>
      <c r="G179" s="650"/>
      <c r="H179" s="146"/>
      <c r="N179" s="100" t="s">
        <v>119</v>
      </c>
      <c r="O179" s="101" t="s">
        <v>137</v>
      </c>
      <c r="P179" s="101" t="s">
        <v>79</v>
      </c>
      <c r="Q179" s="120"/>
      <c r="R179" s="100" t="s">
        <v>119</v>
      </c>
      <c r="S179" s="101" t="s">
        <v>137</v>
      </c>
      <c r="T179" s="100" t="s">
        <v>79</v>
      </c>
      <c r="U179" s="8" t="s">
        <v>138</v>
      </c>
      <c r="V179" s="122"/>
    </row>
    <row r="180" spans="1:24" ht="15.75" thickBot="1" x14ac:dyDescent="0.3">
      <c r="A180" s="652">
        <f>-'Beskrivn kalkylvrd'!C45</f>
        <v>-5.0343806591100861</v>
      </c>
      <c r="B180" s="650" t="s">
        <v>104</v>
      </c>
      <c r="C180" s="653">
        <f>'Beskrivn kalkylvrd'!E45</f>
        <v>0.25846153846153846</v>
      </c>
      <c r="D180" s="650"/>
      <c r="E180" s="570">
        <f>-'Beskrivn kalkylvrd'!C45</f>
        <v>-5.0343806591100861</v>
      </c>
      <c r="F180" s="650" t="s">
        <v>104</v>
      </c>
      <c r="G180" s="653">
        <f>'Beskrivn kalkylvrd'!E45</f>
        <v>0.25846153846153846</v>
      </c>
      <c r="H180" s="146"/>
      <c r="N180" s="97" t="s">
        <v>141</v>
      </c>
      <c r="O180" s="9"/>
      <c r="P180" s="9"/>
      <c r="Q180" s="120"/>
      <c r="R180" s="97" t="s">
        <v>141</v>
      </c>
      <c r="S180" s="9"/>
      <c r="T180" s="9"/>
      <c r="U180" s="120"/>
      <c r="V180" s="122"/>
    </row>
    <row r="181" spans="1:24" ht="15.75" thickBot="1" x14ac:dyDescent="0.3">
      <c r="A181" s="654" t="s">
        <v>144</v>
      </c>
      <c r="B181" s="650"/>
      <c r="C181" s="570"/>
      <c r="D181" s="651" t="s">
        <v>101</v>
      </c>
      <c r="E181" s="649" t="s">
        <v>144</v>
      </c>
      <c r="F181" s="650"/>
      <c r="G181" s="570"/>
      <c r="H181" s="146"/>
      <c r="N181" s="97" t="s">
        <v>143</v>
      </c>
      <c r="O181" s="9"/>
      <c r="P181" s="9"/>
      <c r="Q181" s="120"/>
      <c r="R181" s="97" t="s">
        <v>143</v>
      </c>
      <c r="S181" s="9"/>
      <c r="T181" s="9"/>
      <c r="U181" s="120"/>
      <c r="V181" s="122"/>
    </row>
    <row r="182" spans="1:24" ht="15.75" thickBot="1" x14ac:dyDescent="0.3">
      <c r="A182" s="652">
        <f>-'Beskrivn kalkylvrd'!C46</f>
        <v>-4.0750000000000002</v>
      </c>
      <c r="B182" s="650" t="s">
        <v>104</v>
      </c>
      <c r="C182" s="653">
        <f>'Beskrivn kalkylvrd'!E46</f>
        <v>0.30920245398773011</v>
      </c>
      <c r="D182" s="650"/>
      <c r="E182" s="570">
        <f>-'Beskrivn kalkylvrd'!C46</f>
        <v>-4.0750000000000002</v>
      </c>
      <c r="F182" s="650" t="s">
        <v>104</v>
      </c>
      <c r="G182" s="653">
        <f>'Beskrivn kalkylvrd'!E46</f>
        <v>0.30920245398773011</v>
      </c>
      <c r="H182" s="146"/>
      <c r="J182" s="120"/>
      <c r="K182" s="120"/>
      <c r="N182" s="97" t="s">
        <v>145</v>
      </c>
      <c r="O182" s="9"/>
      <c r="P182" s="9"/>
      <c r="Q182" s="120"/>
      <c r="R182" s="97" t="s">
        <v>145</v>
      </c>
      <c r="S182" s="9"/>
      <c r="T182" s="9"/>
      <c r="U182" s="120"/>
      <c r="V182" s="122"/>
    </row>
    <row r="183" spans="1:24" ht="15.75" thickBot="1" x14ac:dyDescent="0.3">
      <c r="A183" s="649" t="s">
        <v>148</v>
      </c>
      <c r="B183" s="650"/>
      <c r="C183" s="570"/>
      <c r="D183" s="655" t="s">
        <v>135</v>
      </c>
      <c r="E183" s="649" t="s">
        <v>148</v>
      </c>
      <c r="F183" s="650"/>
      <c r="G183" s="570"/>
      <c r="H183" s="146"/>
      <c r="N183" s="97" t="s">
        <v>147</v>
      </c>
      <c r="O183" s="123" t="s">
        <v>2</v>
      </c>
      <c r="P183" s="9"/>
      <c r="Q183" s="120"/>
      <c r="R183" s="97" t="s">
        <v>147</v>
      </c>
      <c r="S183" s="123" t="s">
        <v>2</v>
      </c>
      <c r="T183" s="9"/>
      <c r="U183" s="120"/>
      <c r="V183" s="122"/>
    </row>
    <row r="184" spans="1:24" ht="15.75" thickBot="1" x14ac:dyDescent="0.3">
      <c r="A184" s="570">
        <f>-'Beskrivn kalkylvrd'!E51</f>
        <v>-3.5000000000000003E-2</v>
      </c>
      <c r="B184" s="650" t="s">
        <v>151</v>
      </c>
      <c r="C184" s="653">
        <v>0</v>
      </c>
      <c r="D184" s="650"/>
      <c r="E184" s="570">
        <f>-'Beskrivn kalkylvrd'!E51</f>
        <v>-3.5000000000000003E-2</v>
      </c>
      <c r="F184" s="650" t="s">
        <v>151</v>
      </c>
      <c r="G184" s="653">
        <v>0</v>
      </c>
      <c r="H184" s="146"/>
      <c r="N184" s="97" t="s">
        <v>131</v>
      </c>
      <c r="O184" s="9"/>
      <c r="P184" s="9"/>
      <c r="Q184" s="120"/>
      <c r="R184" s="97" t="s">
        <v>131</v>
      </c>
      <c r="S184" s="9"/>
      <c r="T184" s="9"/>
      <c r="U184" s="120"/>
      <c r="V184" s="122"/>
    </row>
    <row r="185" spans="1:24" ht="15.75" thickBot="1" x14ac:dyDescent="0.3">
      <c r="A185" s="649" t="s">
        <v>153</v>
      </c>
      <c r="B185" s="650"/>
      <c r="C185" s="650"/>
      <c r="D185" s="655" t="s">
        <v>135</v>
      </c>
      <c r="E185" s="649" t="s">
        <v>153</v>
      </c>
      <c r="F185" s="650"/>
      <c r="G185" s="650"/>
      <c r="H185" s="146"/>
      <c r="N185" s="97" t="s">
        <v>134</v>
      </c>
      <c r="O185" s="9"/>
      <c r="P185" s="9"/>
      <c r="Q185" s="120"/>
      <c r="R185" s="97" t="s">
        <v>134</v>
      </c>
      <c r="S185" s="9"/>
      <c r="T185" s="9"/>
      <c r="U185" s="120"/>
      <c r="V185" s="122"/>
    </row>
    <row r="186" spans="1:24" ht="15.75" thickBot="1" x14ac:dyDescent="0.3">
      <c r="A186" s="656">
        <f>-'Beskrivn kalkylvrd'!E52</f>
        <v>-2.5909329491692031E-3</v>
      </c>
      <c r="B186" s="650" t="s">
        <v>151</v>
      </c>
      <c r="C186" s="570">
        <v>1</v>
      </c>
      <c r="D186" s="655"/>
      <c r="E186" s="656">
        <f>-'Beskrivn kalkylvrd'!E52</f>
        <v>-2.5909329491692031E-3</v>
      </c>
      <c r="F186" s="650" t="s">
        <v>151</v>
      </c>
      <c r="G186" s="570">
        <v>1</v>
      </c>
      <c r="H186" s="146"/>
      <c r="N186" s="97" t="s">
        <v>139</v>
      </c>
      <c r="O186" s="9"/>
      <c r="P186" s="9"/>
      <c r="Q186" s="120"/>
      <c r="R186" s="97" t="s">
        <v>139</v>
      </c>
      <c r="S186" s="9"/>
      <c r="T186" s="9"/>
      <c r="U186" s="120"/>
      <c r="V186" s="122"/>
    </row>
    <row r="187" spans="1:24" ht="15.75" thickBot="1" x14ac:dyDescent="0.3">
      <c r="A187" s="649" t="s">
        <v>156</v>
      </c>
      <c r="B187" s="650"/>
      <c r="C187" s="570"/>
      <c r="D187" s="655" t="s">
        <v>118</v>
      </c>
      <c r="E187" s="649" t="s">
        <v>156</v>
      </c>
      <c r="F187" s="650"/>
      <c r="G187" s="570"/>
      <c r="H187" s="146"/>
      <c r="N187" s="100" t="s">
        <v>142</v>
      </c>
      <c r="O187" s="107"/>
      <c r="P187" s="107"/>
      <c r="Q187" s="120"/>
      <c r="R187" s="97" t="s">
        <v>142</v>
      </c>
      <c r="S187" s="9"/>
      <c r="T187" s="9"/>
      <c r="U187" s="120"/>
      <c r="V187" s="122"/>
    </row>
    <row r="188" spans="1:24" x14ac:dyDescent="0.25">
      <c r="A188" s="570">
        <f>-'Beskrivn kalkylvrd'!E55</f>
        <v>-0.23315417924246687</v>
      </c>
      <c r="B188" s="650" t="s">
        <v>151</v>
      </c>
      <c r="C188" s="657">
        <f>'Beskrivn kalkylvrd'!F57</f>
        <v>1.3528298110353373E-2</v>
      </c>
      <c r="D188" s="650"/>
      <c r="E188" s="570">
        <f>-'Beskrivn kalkylvrd'!E55</f>
        <v>-0.23315417924246687</v>
      </c>
      <c r="F188" s="650" t="s">
        <v>151</v>
      </c>
      <c r="G188" s="657">
        <f>'Beskrivn kalkylvrd'!F57</f>
        <v>1.3528298110353373E-2</v>
      </c>
      <c r="H188" s="146"/>
      <c r="N188" s="120"/>
      <c r="O188" s="120"/>
      <c r="P188" s="120"/>
      <c r="Q188" s="120"/>
      <c r="R188" s="120"/>
      <c r="S188" s="120"/>
      <c r="T188" s="120"/>
      <c r="U188" s="120"/>
      <c r="V188" s="122"/>
    </row>
    <row r="189" spans="1:24" x14ac:dyDescent="0.25">
      <c r="A189" s="658" t="s">
        <v>836</v>
      </c>
      <c r="B189" s="659"/>
      <c r="C189" s="659"/>
      <c r="D189" s="572"/>
      <c r="E189" s="660"/>
      <c r="F189" s="146"/>
      <c r="G189" s="146"/>
      <c r="H189" s="146"/>
      <c r="P189" s="96" t="s">
        <v>157</v>
      </c>
      <c r="Q189" s="120"/>
      <c r="R189" s="120"/>
      <c r="S189" s="120"/>
      <c r="T189" s="120"/>
      <c r="U189" s="120"/>
      <c r="V189" s="120"/>
      <c r="W189" s="120"/>
      <c r="X189" s="122"/>
    </row>
    <row r="190" spans="1:24" x14ac:dyDescent="0.25">
      <c r="A190" s="119"/>
      <c r="B190" s="2"/>
      <c r="C190" s="2"/>
      <c r="D190" s="120"/>
      <c r="E190" s="120"/>
      <c r="F190" s="120"/>
      <c r="G190" s="117"/>
      <c r="H190" s="120"/>
      <c r="I190" s="118"/>
      <c r="J190" s="132"/>
      <c r="K190" s="120"/>
      <c r="L190" s="138"/>
      <c r="M190" s="121"/>
      <c r="N190" s="139"/>
      <c r="O190" s="121"/>
      <c r="P190" s="105"/>
      <c r="Q190" s="120"/>
      <c r="R190" s="120"/>
      <c r="S190" s="120"/>
      <c r="T190" s="120"/>
      <c r="U190" s="120"/>
      <c r="V190" s="120"/>
      <c r="W190" s="120"/>
      <c r="X190" s="122"/>
    </row>
    <row r="192" spans="1:24" ht="18.75" x14ac:dyDescent="0.3">
      <c r="A192" s="367" t="s">
        <v>708</v>
      </c>
      <c r="B192" s="368"/>
      <c r="C192" s="368"/>
      <c r="D192" s="368"/>
      <c r="E192" s="368"/>
      <c r="F192" s="368"/>
      <c r="G192" s="368"/>
      <c r="H192" s="368"/>
      <c r="I192" s="368"/>
      <c r="J192" s="368"/>
      <c r="K192" s="368"/>
      <c r="L192" s="368"/>
      <c r="M192" s="368"/>
      <c r="N192" s="368"/>
      <c r="O192" s="368"/>
      <c r="P192" s="368"/>
      <c r="Q192" s="368"/>
      <c r="R192" s="368"/>
      <c r="S192" s="368"/>
    </row>
    <row r="193" spans="1:5" x14ac:dyDescent="0.25">
      <c r="C193" t="s">
        <v>860</v>
      </c>
    </row>
    <row r="194" spans="1:5" ht="75" x14ac:dyDescent="0.25">
      <c r="A194" s="396" t="s">
        <v>878</v>
      </c>
      <c r="B194" s="396" t="s">
        <v>828</v>
      </c>
      <c r="C194" t="s">
        <v>861</v>
      </c>
      <c r="D194" s="391"/>
      <c r="E194">
        <v>0.41140000000000004</v>
      </c>
    </row>
    <row r="195" spans="1:5" x14ac:dyDescent="0.25">
      <c r="A195" s="382" t="s">
        <v>158</v>
      </c>
      <c r="B195" s="589">
        <f>E194</f>
        <v>0.41140000000000004</v>
      </c>
      <c r="C195" t="s">
        <v>862</v>
      </c>
      <c r="E195">
        <v>0.32912000000000002</v>
      </c>
    </row>
    <row r="196" spans="1:5" x14ac:dyDescent="0.25">
      <c r="A196" s="382" t="s">
        <v>159</v>
      </c>
      <c r="B196" s="589">
        <f>E208</f>
        <v>7.0180000000000006E-2</v>
      </c>
      <c r="C196" t="s">
        <v>863</v>
      </c>
      <c r="E196">
        <v>0.11011</v>
      </c>
    </row>
    <row r="197" spans="1:5" x14ac:dyDescent="0.25">
      <c r="A197" s="382" t="s">
        <v>200</v>
      </c>
      <c r="B197" s="589">
        <f>E199</f>
        <v>0.75503999999999993</v>
      </c>
      <c r="C197" t="s">
        <v>864</v>
      </c>
      <c r="E197">
        <v>3.0044300000000002</v>
      </c>
    </row>
    <row r="198" spans="1:5" x14ac:dyDescent="0.25">
      <c r="A198" s="382" t="s">
        <v>160</v>
      </c>
      <c r="B198" s="589">
        <f>E197</f>
        <v>3.0044300000000002</v>
      </c>
      <c r="C198" t="s">
        <v>865</v>
      </c>
      <c r="E198">
        <v>19.606840000000002</v>
      </c>
    </row>
    <row r="199" spans="1:5" x14ac:dyDescent="0.25">
      <c r="A199" s="382" t="s">
        <v>201</v>
      </c>
      <c r="B199" s="589">
        <f>E200</f>
        <v>0.53481999999999996</v>
      </c>
      <c r="C199" t="s">
        <v>866</v>
      </c>
      <c r="E199">
        <v>0.75503999999999993</v>
      </c>
    </row>
    <row r="200" spans="1:5" x14ac:dyDescent="0.25">
      <c r="A200" s="382" t="s">
        <v>202</v>
      </c>
      <c r="B200" s="589">
        <f>(E200+E201)/2</f>
        <v>2.2070400000000001</v>
      </c>
      <c r="C200" t="s">
        <v>867</v>
      </c>
      <c r="E200">
        <v>0.53481999999999996</v>
      </c>
    </row>
    <row r="201" spans="1:5" x14ac:dyDescent="0.25">
      <c r="A201" s="382" t="s">
        <v>203</v>
      </c>
      <c r="B201" s="589">
        <f>E196</f>
        <v>0.11011</v>
      </c>
      <c r="C201" t="s">
        <v>868</v>
      </c>
      <c r="E201">
        <v>3.8792599999999999</v>
      </c>
    </row>
    <row r="202" spans="1:5" x14ac:dyDescent="0.25">
      <c r="A202" s="382" t="s">
        <v>161</v>
      </c>
      <c r="B202" s="589">
        <f>E203</f>
        <v>2.31352</v>
      </c>
      <c r="C202" t="s">
        <v>869</v>
      </c>
      <c r="E202">
        <v>0.62678</v>
      </c>
    </row>
    <row r="203" spans="1:5" x14ac:dyDescent="0.25">
      <c r="A203" s="382" t="s">
        <v>163</v>
      </c>
      <c r="B203" s="589">
        <f>E199</f>
        <v>0.75503999999999993</v>
      </c>
      <c r="C203" t="s">
        <v>870</v>
      </c>
      <c r="E203">
        <v>2.31352</v>
      </c>
    </row>
    <row r="204" spans="1:5" x14ac:dyDescent="0.25">
      <c r="A204" s="382" t="s">
        <v>204</v>
      </c>
      <c r="B204" s="589">
        <f>(E208+E196)/2</f>
        <v>9.0145000000000003E-2</v>
      </c>
      <c r="C204" t="s">
        <v>871</v>
      </c>
      <c r="E204">
        <v>28.638279999999998</v>
      </c>
    </row>
    <row r="205" spans="1:5" x14ac:dyDescent="0.25">
      <c r="A205" s="382" t="s">
        <v>165</v>
      </c>
      <c r="B205" s="589">
        <f>E201</f>
        <v>3.8792599999999999</v>
      </c>
      <c r="C205" t="s">
        <v>872</v>
      </c>
      <c r="E205">
        <v>12.554959999999999</v>
      </c>
    </row>
    <row r="206" spans="1:5" x14ac:dyDescent="0.25">
      <c r="A206" s="382" t="s">
        <v>205</v>
      </c>
      <c r="B206" s="589">
        <f>(E205+E204+E198+E203)/4</f>
        <v>15.778399999999998</v>
      </c>
      <c r="C206" t="s">
        <v>873</v>
      </c>
      <c r="E206">
        <v>4.8641999999999994</v>
      </c>
    </row>
    <row r="207" spans="1:5" ht="15.75" x14ac:dyDescent="0.25">
      <c r="A207" s="372" t="s">
        <v>844</v>
      </c>
      <c r="C207" t="s">
        <v>874</v>
      </c>
      <c r="E207">
        <v>0.34363999999999995</v>
      </c>
    </row>
    <row r="208" spans="1:5" x14ac:dyDescent="0.25">
      <c r="C208" t="s">
        <v>875</v>
      </c>
      <c r="E208">
        <v>7.0180000000000006E-2</v>
      </c>
    </row>
    <row r="209" spans="3:5" x14ac:dyDescent="0.25">
      <c r="C209" t="s">
        <v>876</v>
      </c>
    </row>
    <row r="210" spans="3:5" x14ac:dyDescent="0.25">
      <c r="C210" t="s">
        <v>877</v>
      </c>
      <c r="E210">
        <v>1.3237400000000001</v>
      </c>
    </row>
  </sheetData>
  <mergeCells count="6">
    <mergeCell ref="A64:A66"/>
    <mergeCell ref="B64:B66"/>
    <mergeCell ref="C64:C66"/>
    <mergeCell ref="D64:G64"/>
    <mergeCell ref="D65:E65"/>
    <mergeCell ref="F65:G6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24"/>
  <sheetViews>
    <sheetView workbookViewId="0">
      <selection activeCell="L9" sqref="L9"/>
    </sheetView>
  </sheetViews>
  <sheetFormatPr defaultRowHeight="15" x14ac:dyDescent="0.25"/>
  <cols>
    <col min="5" max="5" width="49.42578125" bestFit="1" customWidth="1"/>
    <col min="7" max="7" width="6.5703125" bestFit="1" customWidth="1"/>
  </cols>
  <sheetData>
    <row r="2" spans="5:10" x14ac:dyDescent="0.25">
      <c r="E2" t="s">
        <v>945</v>
      </c>
    </row>
    <row r="5" spans="5:10" x14ac:dyDescent="0.25">
      <c r="I5">
        <v>2.3800000000000002E-2</v>
      </c>
      <c r="J5">
        <v>1.83E-2</v>
      </c>
    </row>
    <row r="6" spans="5:10" x14ac:dyDescent="0.25">
      <c r="G6">
        <v>2040</v>
      </c>
    </row>
    <row r="7" spans="5:10" x14ac:dyDescent="0.25">
      <c r="E7" s="685" t="s">
        <v>927</v>
      </c>
      <c r="F7" s="686"/>
      <c r="G7" s="687">
        <v>16.847553956834531</v>
      </c>
      <c r="H7" s="688" t="s">
        <v>928</v>
      </c>
      <c r="I7">
        <f>(1+J5)^15</f>
        <v>1.3126113538747077</v>
      </c>
    </row>
    <row r="8" spans="5:10" x14ac:dyDescent="0.25">
      <c r="E8" s="685" t="s">
        <v>929</v>
      </c>
      <c r="F8" s="686"/>
      <c r="G8" s="687">
        <v>28.778710166919574</v>
      </c>
      <c r="H8" s="688" t="s">
        <v>928</v>
      </c>
      <c r="I8">
        <f>(1+I5)^15</f>
        <v>1.4230720148894451</v>
      </c>
    </row>
    <row r="9" spans="5:10" x14ac:dyDescent="0.25">
      <c r="E9" s="685" t="s">
        <v>930</v>
      </c>
      <c r="F9" s="689"/>
      <c r="G9" s="687">
        <v>8.4532374100719426E-2</v>
      </c>
      <c r="H9" s="688" t="s">
        <v>928</v>
      </c>
      <c r="I9">
        <v>1.3126113538747077</v>
      </c>
    </row>
    <row r="10" spans="5:10" x14ac:dyDescent="0.25">
      <c r="E10" s="685" t="s">
        <v>931</v>
      </c>
      <c r="F10" s="689"/>
      <c r="G10" s="687">
        <v>0.18414264036418818</v>
      </c>
      <c r="H10" s="688" t="s">
        <v>928</v>
      </c>
      <c r="I10">
        <v>1.4230720148894451</v>
      </c>
    </row>
    <row r="11" spans="5:10" x14ac:dyDescent="0.25">
      <c r="E11" s="685" t="s">
        <v>932</v>
      </c>
      <c r="F11" s="689"/>
      <c r="G11" s="690">
        <v>48.06</v>
      </c>
      <c r="H11" s="688" t="s">
        <v>856</v>
      </c>
      <c r="I11">
        <v>1.3126113538747077</v>
      </c>
    </row>
    <row r="12" spans="5:10" x14ac:dyDescent="0.25">
      <c r="E12" s="685" t="s">
        <v>933</v>
      </c>
      <c r="F12" s="689"/>
      <c r="G12" s="690">
        <v>50.08</v>
      </c>
      <c r="H12" s="688" t="s">
        <v>856</v>
      </c>
      <c r="I12">
        <v>1.4230720148894451</v>
      </c>
    </row>
    <row r="13" spans="5:10" x14ac:dyDescent="0.25">
      <c r="E13" s="685" t="s">
        <v>934</v>
      </c>
      <c r="F13" s="686"/>
      <c r="G13" s="690">
        <v>0.13</v>
      </c>
      <c r="H13" s="688" t="s">
        <v>856</v>
      </c>
      <c r="I13">
        <v>1.3126113538747077</v>
      </c>
    </row>
    <row r="14" spans="5:10" x14ac:dyDescent="0.25">
      <c r="E14" s="685" t="s">
        <v>935</v>
      </c>
      <c r="F14" s="686"/>
      <c r="G14" s="690">
        <v>0.17</v>
      </c>
      <c r="H14" s="688" t="s">
        <v>856</v>
      </c>
      <c r="I14">
        <v>1.4230720148894451</v>
      </c>
    </row>
    <row r="16" spans="5:10" x14ac:dyDescent="0.25">
      <c r="G16" s="691">
        <v>2025</v>
      </c>
    </row>
    <row r="17" spans="5:8" x14ac:dyDescent="0.25">
      <c r="E17" s="685" t="s">
        <v>927</v>
      </c>
      <c r="F17" s="686"/>
      <c r="G17" s="687">
        <f>G7*I7</f>
        <v>22.114290608757763</v>
      </c>
      <c r="H17" s="688" t="s">
        <v>928</v>
      </c>
    </row>
    <row r="18" spans="5:8" x14ac:dyDescent="0.25">
      <c r="E18" s="685" t="s">
        <v>929</v>
      </c>
      <c r="F18" s="686"/>
      <c r="G18" s="687">
        <f>G8*I8</f>
        <v>40.954177063157594</v>
      </c>
      <c r="H18" s="688" t="s">
        <v>928</v>
      </c>
    </row>
    <row r="19" spans="5:8" x14ac:dyDescent="0.25">
      <c r="E19" s="685" t="s">
        <v>930</v>
      </c>
      <c r="F19" s="689"/>
      <c r="G19" s="687">
        <f>G9*I9</f>
        <v>0.11095815401458861</v>
      </c>
      <c r="H19" s="688" t="s">
        <v>928</v>
      </c>
    </row>
    <row r="20" spans="5:8" x14ac:dyDescent="0.25">
      <c r="E20" s="685" t="s">
        <v>931</v>
      </c>
      <c r="F20" s="689"/>
      <c r="G20" s="687">
        <f t="shared" ref="G20:G24" si="0">G10*I10</f>
        <v>0.26204823825012774</v>
      </c>
      <c r="H20" s="688" t="s">
        <v>928</v>
      </c>
    </row>
    <row r="21" spans="5:8" x14ac:dyDescent="0.25">
      <c r="E21" s="685" t="s">
        <v>932</v>
      </c>
      <c r="F21" s="689"/>
      <c r="G21" s="687">
        <f t="shared" si="0"/>
        <v>63.084101667218455</v>
      </c>
      <c r="H21" s="688" t="s">
        <v>856</v>
      </c>
    </row>
    <row r="22" spans="5:8" x14ac:dyDescent="0.25">
      <c r="E22" s="685" t="s">
        <v>933</v>
      </c>
      <c r="F22" s="689"/>
      <c r="G22" s="687">
        <f t="shared" si="0"/>
        <v>71.267446505663415</v>
      </c>
      <c r="H22" s="688" t="s">
        <v>856</v>
      </c>
    </row>
    <row r="23" spans="5:8" x14ac:dyDescent="0.25">
      <c r="E23" s="685" t="s">
        <v>934</v>
      </c>
      <c r="F23" s="686"/>
      <c r="G23" s="687">
        <f t="shared" si="0"/>
        <v>0.17063947600371202</v>
      </c>
      <c r="H23" s="688" t="s">
        <v>856</v>
      </c>
    </row>
    <row r="24" spans="5:8" x14ac:dyDescent="0.25">
      <c r="E24" s="685" t="s">
        <v>935</v>
      </c>
      <c r="F24" s="686"/>
      <c r="G24" s="687">
        <f t="shared" si="0"/>
        <v>0.2419222425312057</v>
      </c>
      <c r="H24" s="688" t="s">
        <v>856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13" workbookViewId="0">
      <selection activeCell="F16" sqref="F16"/>
    </sheetView>
  </sheetViews>
  <sheetFormatPr defaultRowHeight="15" x14ac:dyDescent="0.25"/>
  <cols>
    <col min="1" max="1" width="39.140625" customWidth="1"/>
    <col min="2" max="2" width="9.7109375" style="2" bestFit="1" customWidth="1"/>
    <col min="3" max="3" width="10.5703125" style="2" bestFit="1" customWidth="1"/>
    <col min="4" max="4" width="34.140625" customWidth="1"/>
    <col min="6" max="6" width="34.7109375" customWidth="1"/>
    <col min="7" max="8" width="9.85546875" bestFit="1" customWidth="1"/>
    <col min="9" max="9" width="35.7109375" customWidth="1"/>
    <col min="11" max="11" width="14.5703125" bestFit="1" customWidth="1"/>
    <col min="38" max="38" width="11.5703125" bestFit="1" customWidth="1"/>
  </cols>
  <sheetData>
    <row r="1" spans="1:17" ht="31.5" x14ac:dyDescent="0.5">
      <c r="A1" s="325" t="s">
        <v>621</v>
      </c>
    </row>
    <row r="2" spans="1:17" ht="15.75" x14ac:dyDescent="0.25">
      <c r="A2" s="240" t="s">
        <v>622</v>
      </c>
      <c r="F2" s="20"/>
    </row>
    <row r="3" spans="1:17" x14ac:dyDescent="0.25">
      <c r="A3" s="143" t="s">
        <v>664</v>
      </c>
      <c r="B3" s="143" t="s">
        <v>537</v>
      </c>
    </row>
    <row r="5" spans="1:17" ht="18.75" x14ac:dyDescent="0.3">
      <c r="A5" s="28" t="s">
        <v>668</v>
      </c>
    </row>
    <row r="6" spans="1:17" x14ac:dyDescent="0.25">
      <c r="B6"/>
      <c r="C6"/>
    </row>
    <row r="7" spans="1:17" ht="45" x14ac:dyDescent="0.25">
      <c r="A7" s="152" t="s">
        <v>376</v>
      </c>
      <c r="B7" s="321">
        <v>18</v>
      </c>
      <c r="C7" s="153" t="s">
        <v>371</v>
      </c>
      <c r="D7" s="470" t="s">
        <v>826</v>
      </c>
      <c r="E7" s="153"/>
      <c r="F7" s="245" t="s">
        <v>746</v>
      </c>
    </row>
    <row r="8" spans="1:17" ht="30" x14ac:dyDescent="0.25">
      <c r="A8" s="320" t="s">
        <v>613</v>
      </c>
      <c r="B8" s="322">
        <v>65</v>
      </c>
      <c r="C8" s="153"/>
      <c r="D8" s="470" t="s">
        <v>662</v>
      </c>
      <c r="E8" s="153"/>
      <c r="M8" s="150"/>
      <c r="N8" s="150"/>
      <c r="O8" s="150"/>
      <c r="P8" s="150"/>
      <c r="Q8" s="150"/>
    </row>
    <row r="9" spans="1:17" x14ac:dyDescent="0.25">
      <c r="B9"/>
      <c r="C9"/>
      <c r="D9" s="318"/>
      <c r="M9" s="150"/>
      <c r="N9" s="150"/>
      <c r="O9" s="150"/>
      <c r="P9" s="150"/>
      <c r="Q9" s="150"/>
    </row>
    <row r="11" spans="1:17" x14ac:dyDescent="0.25">
      <c r="A11" s="3"/>
      <c r="B11" s="27"/>
      <c r="F11" s="20"/>
    </row>
    <row r="12" spans="1:17" x14ac:dyDescent="0.25">
      <c r="A12" t="s">
        <v>225</v>
      </c>
      <c r="B12"/>
      <c r="C12"/>
      <c r="D12" t="s">
        <v>226</v>
      </c>
    </row>
    <row r="13" spans="1:17" x14ac:dyDescent="0.25">
      <c r="A13" s="25" t="s">
        <v>228</v>
      </c>
      <c r="B13"/>
      <c r="C13"/>
      <c r="D13" s="25" t="s">
        <v>228</v>
      </c>
      <c r="F13" t="s">
        <v>1</v>
      </c>
    </row>
    <row r="14" spans="1:17" x14ac:dyDescent="0.25">
      <c r="A14" s="20" t="s">
        <v>743</v>
      </c>
      <c r="B14" s="323">
        <v>1</v>
      </c>
      <c r="C14" t="s">
        <v>1</v>
      </c>
      <c r="D14" s="20" t="s">
        <v>743</v>
      </c>
      <c r="E14" s="323">
        <v>2</v>
      </c>
      <c r="F14" t="s">
        <v>1</v>
      </c>
    </row>
    <row r="15" spans="1:17" x14ac:dyDescent="0.25">
      <c r="A15" t="s">
        <v>744</v>
      </c>
      <c r="B15" s="323">
        <v>1</v>
      </c>
      <c r="C15" t="s">
        <v>1</v>
      </c>
      <c r="D15" t="s">
        <v>744</v>
      </c>
      <c r="E15" s="323">
        <v>2</v>
      </c>
      <c r="F15" t="s">
        <v>1</v>
      </c>
    </row>
    <row r="16" spans="1:17" x14ac:dyDescent="0.25">
      <c r="A16" t="s">
        <v>745</v>
      </c>
      <c r="B16" s="323">
        <v>1</v>
      </c>
      <c r="C16" t="s">
        <v>1</v>
      </c>
      <c r="D16" t="s">
        <v>745</v>
      </c>
      <c r="E16" s="323">
        <v>2</v>
      </c>
    </row>
    <row r="17" spans="1:53" x14ac:dyDescent="0.25">
      <c r="B17"/>
      <c r="C17"/>
    </row>
    <row r="19" spans="1:53" ht="18.75" x14ac:dyDescent="0.3">
      <c r="A19" s="28" t="s">
        <v>663</v>
      </c>
    </row>
    <row r="21" spans="1:53" ht="15.75" x14ac:dyDescent="0.25">
      <c r="A21" s="24" t="s">
        <v>206</v>
      </c>
      <c r="B21" s="1"/>
      <c r="C21" s="1"/>
      <c r="D21" s="1"/>
      <c r="E21" s="1"/>
      <c r="F21" s="1"/>
      <c r="G21" s="14"/>
      <c r="H21" s="17"/>
      <c r="I21" s="14"/>
      <c r="J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53"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53" x14ac:dyDescent="0.25">
      <c r="A23" s="18" t="s">
        <v>207</v>
      </c>
      <c r="B23" s="22">
        <v>2025</v>
      </c>
      <c r="C23" s="11">
        <f t="shared" ref="C23:H23" si="0">B23+1</f>
        <v>2026</v>
      </c>
      <c r="D23" s="11">
        <f t="shared" si="0"/>
        <v>2027</v>
      </c>
      <c r="E23" s="11">
        <f t="shared" si="0"/>
        <v>2028</v>
      </c>
      <c r="F23" s="11">
        <f t="shared" si="0"/>
        <v>2029</v>
      </c>
      <c r="G23" s="11">
        <f t="shared" si="0"/>
        <v>2030</v>
      </c>
      <c r="H23" s="11">
        <f t="shared" si="0"/>
        <v>2031</v>
      </c>
      <c r="I23" s="11">
        <f t="shared" ref="I23:AP23" si="1">H23+1</f>
        <v>2032</v>
      </c>
      <c r="J23" s="11">
        <f t="shared" si="1"/>
        <v>2033</v>
      </c>
      <c r="K23" s="11">
        <f t="shared" si="1"/>
        <v>2034</v>
      </c>
      <c r="L23" s="11">
        <f t="shared" si="1"/>
        <v>2035</v>
      </c>
      <c r="M23" s="11">
        <f t="shared" si="1"/>
        <v>2036</v>
      </c>
      <c r="N23" s="11">
        <f t="shared" si="1"/>
        <v>2037</v>
      </c>
      <c r="O23" s="11">
        <f t="shared" si="1"/>
        <v>2038</v>
      </c>
      <c r="P23" s="11">
        <f t="shared" si="1"/>
        <v>2039</v>
      </c>
      <c r="Q23" s="11">
        <f t="shared" si="1"/>
        <v>2040</v>
      </c>
      <c r="R23" s="11">
        <f t="shared" si="1"/>
        <v>2041</v>
      </c>
      <c r="S23" s="11">
        <f t="shared" si="1"/>
        <v>2042</v>
      </c>
      <c r="T23" s="11">
        <f t="shared" si="1"/>
        <v>2043</v>
      </c>
      <c r="U23" s="11">
        <f t="shared" si="1"/>
        <v>2044</v>
      </c>
      <c r="V23" s="11">
        <f t="shared" si="1"/>
        <v>2045</v>
      </c>
      <c r="W23" s="11">
        <f t="shared" si="1"/>
        <v>2046</v>
      </c>
      <c r="X23" s="11">
        <f t="shared" si="1"/>
        <v>2047</v>
      </c>
      <c r="Y23" s="11">
        <f t="shared" si="1"/>
        <v>2048</v>
      </c>
      <c r="Z23" s="11">
        <f t="shared" si="1"/>
        <v>2049</v>
      </c>
      <c r="AA23" s="11">
        <f t="shared" si="1"/>
        <v>2050</v>
      </c>
      <c r="AB23" s="11">
        <f t="shared" si="1"/>
        <v>2051</v>
      </c>
      <c r="AC23" s="11">
        <f t="shared" si="1"/>
        <v>2052</v>
      </c>
      <c r="AD23" s="11">
        <f t="shared" si="1"/>
        <v>2053</v>
      </c>
      <c r="AE23" s="11">
        <f t="shared" si="1"/>
        <v>2054</v>
      </c>
      <c r="AF23" s="11">
        <f t="shared" si="1"/>
        <v>2055</v>
      </c>
      <c r="AG23" s="11">
        <f t="shared" si="1"/>
        <v>2056</v>
      </c>
      <c r="AH23" s="11">
        <f t="shared" si="1"/>
        <v>2057</v>
      </c>
      <c r="AI23" s="11">
        <f t="shared" si="1"/>
        <v>2058</v>
      </c>
      <c r="AJ23" s="11">
        <f t="shared" si="1"/>
        <v>2059</v>
      </c>
      <c r="AK23" s="11">
        <f t="shared" si="1"/>
        <v>2060</v>
      </c>
      <c r="AL23" s="11">
        <f t="shared" si="1"/>
        <v>2061</v>
      </c>
      <c r="AM23" s="11">
        <f t="shared" si="1"/>
        <v>2062</v>
      </c>
      <c r="AN23" s="11">
        <f t="shared" si="1"/>
        <v>2063</v>
      </c>
      <c r="AO23" s="11">
        <f t="shared" si="1"/>
        <v>2064</v>
      </c>
      <c r="AP23" s="11">
        <f t="shared" si="1"/>
        <v>2065</v>
      </c>
      <c r="AQ23" s="11"/>
      <c r="AR23" s="11"/>
      <c r="AS23" s="11"/>
    </row>
    <row r="24" spans="1:53" x14ac:dyDescent="0.25">
      <c r="A24" t="s">
        <v>208</v>
      </c>
      <c r="B24" s="261">
        <v>4</v>
      </c>
      <c r="C24" s="261">
        <v>4</v>
      </c>
      <c r="D24" s="261">
        <f t="shared" ref="D24:H24" si="2">C24</f>
        <v>4</v>
      </c>
      <c r="E24" s="261">
        <f t="shared" si="2"/>
        <v>4</v>
      </c>
      <c r="F24" s="261">
        <f t="shared" si="2"/>
        <v>4</v>
      </c>
      <c r="G24" s="261">
        <f t="shared" si="2"/>
        <v>4</v>
      </c>
      <c r="H24" s="261">
        <f t="shared" si="2"/>
        <v>4</v>
      </c>
      <c r="I24" s="261">
        <f t="shared" ref="I24:AP24" si="3">H24</f>
        <v>4</v>
      </c>
      <c r="J24" s="261">
        <f t="shared" si="3"/>
        <v>4</v>
      </c>
      <c r="K24" s="261">
        <f t="shared" si="3"/>
        <v>4</v>
      </c>
      <c r="L24" s="261">
        <f t="shared" si="3"/>
        <v>4</v>
      </c>
      <c r="M24" s="261">
        <f t="shared" si="3"/>
        <v>4</v>
      </c>
      <c r="N24" s="261">
        <f t="shared" si="3"/>
        <v>4</v>
      </c>
      <c r="O24" s="261">
        <f t="shared" si="3"/>
        <v>4</v>
      </c>
      <c r="P24" s="261">
        <f t="shared" si="3"/>
        <v>4</v>
      </c>
      <c r="Q24" s="261">
        <f t="shared" si="3"/>
        <v>4</v>
      </c>
      <c r="R24" s="261">
        <f t="shared" si="3"/>
        <v>4</v>
      </c>
      <c r="S24" s="261">
        <f t="shared" si="3"/>
        <v>4</v>
      </c>
      <c r="T24" s="261">
        <f t="shared" si="3"/>
        <v>4</v>
      </c>
      <c r="U24" s="261">
        <f t="shared" si="3"/>
        <v>4</v>
      </c>
      <c r="V24" s="261">
        <f t="shared" si="3"/>
        <v>4</v>
      </c>
      <c r="W24" s="261">
        <f t="shared" si="3"/>
        <v>4</v>
      </c>
      <c r="X24" s="261">
        <f t="shared" si="3"/>
        <v>4</v>
      </c>
      <c r="Y24" s="261">
        <f t="shared" si="3"/>
        <v>4</v>
      </c>
      <c r="Z24" s="261">
        <f t="shared" si="3"/>
        <v>4</v>
      </c>
      <c r="AA24" s="261">
        <f t="shared" si="3"/>
        <v>4</v>
      </c>
      <c r="AB24" s="261">
        <f t="shared" si="3"/>
        <v>4</v>
      </c>
      <c r="AC24" s="261">
        <f t="shared" si="3"/>
        <v>4</v>
      </c>
      <c r="AD24" s="261">
        <f t="shared" si="3"/>
        <v>4</v>
      </c>
      <c r="AE24" s="261">
        <f t="shared" si="3"/>
        <v>4</v>
      </c>
      <c r="AF24" s="261">
        <f t="shared" si="3"/>
        <v>4</v>
      </c>
      <c r="AG24" s="261">
        <f t="shared" si="3"/>
        <v>4</v>
      </c>
      <c r="AH24" s="261">
        <f t="shared" si="3"/>
        <v>4</v>
      </c>
      <c r="AI24" s="261">
        <f t="shared" si="3"/>
        <v>4</v>
      </c>
      <c r="AJ24" s="261">
        <f t="shared" si="3"/>
        <v>4</v>
      </c>
      <c r="AK24" s="261">
        <f t="shared" si="3"/>
        <v>4</v>
      </c>
      <c r="AL24" s="261">
        <f t="shared" si="3"/>
        <v>4</v>
      </c>
      <c r="AM24" s="261">
        <f t="shared" si="3"/>
        <v>4</v>
      </c>
      <c r="AN24" s="261">
        <f t="shared" si="3"/>
        <v>4</v>
      </c>
      <c r="AO24" s="261">
        <f t="shared" si="3"/>
        <v>4</v>
      </c>
      <c r="AP24" s="261">
        <f t="shared" si="3"/>
        <v>4</v>
      </c>
      <c r="AQ24" s="7"/>
      <c r="AR24" s="7"/>
      <c r="AS24" s="7"/>
      <c r="AT24" s="7"/>
      <c r="AU24" s="7"/>
      <c r="AV24" s="7"/>
      <c r="AW24" s="7"/>
      <c r="AX24" s="7"/>
      <c r="AY24" s="7"/>
      <c r="AZ24" s="7"/>
      <c r="BA24" s="7"/>
    </row>
    <row r="25" spans="1:53" x14ac:dyDescent="0.25">
      <c r="A25" t="s">
        <v>209</v>
      </c>
      <c r="B25" s="261">
        <v>10</v>
      </c>
      <c r="C25" s="261">
        <v>2</v>
      </c>
      <c r="D25" s="261">
        <v>10</v>
      </c>
      <c r="E25" s="261">
        <v>2</v>
      </c>
      <c r="F25" s="261">
        <v>2</v>
      </c>
      <c r="G25" s="261"/>
      <c r="H25" s="261"/>
      <c r="I25" s="261">
        <v>10</v>
      </c>
      <c r="J25" s="261"/>
      <c r="K25" s="261"/>
      <c r="L25" s="261"/>
      <c r="M25" s="261"/>
      <c r="N25" s="261"/>
      <c r="O25" s="261">
        <v>100</v>
      </c>
      <c r="P25" s="261"/>
      <c r="Q25" s="261"/>
      <c r="R25" s="261">
        <v>0</v>
      </c>
      <c r="S25" s="261"/>
      <c r="T25" s="261"/>
      <c r="U25" s="261">
        <v>0</v>
      </c>
      <c r="V25" s="261"/>
      <c r="W25" s="261"/>
      <c r="X25" s="261"/>
      <c r="Y25" s="261"/>
      <c r="Z25" s="261"/>
      <c r="AA25" s="261"/>
      <c r="AB25" s="261">
        <v>0</v>
      </c>
      <c r="AC25" s="261"/>
      <c r="AD25" s="261"/>
      <c r="AE25" s="261"/>
      <c r="AF25" s="261"/>
      <c r="AG25" s="261"/>
      <c r="AH25" s="261"/>
      <c r="AI25" s="261"/>
      <c r="AJ25" s="261"/>
      <c r="AK25" s="261"/>
      <c r="AL25" s="261"/>
      <c r="AM25" s="261"/>
      <c r="AN25" s="261"/>
      <c r="AO25" s="261"/>
      <c r="AP25" s="261"/>
      <c r="AQ25" s="7"/>
      <c r="AR25" s="7"/>
      <c r="AS25" s="7"/>
      <c r="AT25" s="7"/>
      <c r="AU25" s="7"/>
      <c r="AV25" s="7"/>
      <c r="AW25" s="7"/>
      <c r="AX25" s="7"/>
      <c r="AY25" s="7"/>
      <c r="AZ25" s="7"/>
      <c r="BA25" s="7"/>
    </row>
    <row r="26" spans="1:53" x14ac:dyDescent="0.25">
      <c r="A26" t="s">
        <v>210</v>
      </c>
      <c r="B26" s="324">
        <v>0.5</v>
      </c>
      <c r="C26" s="324">
        <f t="shared" ref="C26:H26" si="4">B26</f>
        <v>0.5</v>
      </c>
      <c r="D26" s="324">
        <f t="shared" si="4"/>
        <v>0.5</v>
      </c>
      <c r="E26" s="324">
        <f t="shared" si="4"/>
        <v>0.5</v>
      </c>
      <c r="F26" s="324">
        <f t="shared" si="4"/>
        <v>0.5</v>
      </c>
      <c r="G26" s="324">
        <f t="shared" si="4"/>
        <v>0.5</v>
      </c>
      <c r="H26" s="324">
        <f t="shared" si="4"/>
        <v>0.5</v>
      </c>
      <c r="I26" s="324">
        <f t="shared" ref="I26:AP26" si="5">H26</f>
        <v>0.5</v>
      </c>
      <c r="J26" s="324">
        <f t="shared" si="5"/>
        <v>0.5</v>
      </c>
      <c r="K26" s="324">
        <f t="shared" si="5"/>
        <v>0.5</v>
      </c>
      <c r="L26" s="324">
        <f t="shared" si="5"/>
        <v>0.5</v>
      </c>
      <c r="M26" s="324">
        <f t="shared" si="5"/>
        <v>0.5</v>
      </c>
      <c r="N26" s="324">
        <f t="shared" si="5"/>
        <v>0.5</v>
      </c>
      <c r="O26" s="324">
        <f t="shared" si="5"/>
        <v>0.5</v>
      </c>
      <c r="P26" s="324">
        <f t="shared" si="5"/>
        <v>0.5</v>
      </c>
      <c r="Q26" s="324">
        <f t="shared" si="5"/>
        <v>0.5</v>
      </c>
      <c r="R26" s="324">
        <f t="shared" si="5"/>
        <v>0.5</v>
      </c>
      <c r="S26" s="324">
        <f t="shared" si="5"/>
        <v>0.5</v>
      </c>
      <c r="T26" s="324">
        <f t="shared" si="5"/>
        <v>0.5</v>
      </c>
      <c r="U26" s="324">
        <f t="shared" si="5"/>
        <v>0.5</v>
      </c>
      <c r="V26" s="324">
        <f t="shared" si="5"/>
        <v>0.5</v>
      </c>
      <c r="W26" s="324">
        <f t="shared" si="5"/>
        <v>0.5</v>
      </c>
      <c r="X26" s="324">
        <f t="shared" si="5"/>
        <v>0.5</v>
      </c>
      <c r="Y26" s="324">
        <f t="shared" si="5"/>
        <v>0.5</v>
      </c>
      <c r="Z26" s="324">
        <f t="shared" si="5"/>
        <v>0.5</v>
      </c>
      <c r="AA26" s="324">
        <f t="shared" si="5"/>
        <v>0.5</v>
      </c>
      <c r="AB26" s="324">
        <f t="shared" si="5"/>
        <v>0.5</v>
      </c>
      <c r="AC26" s="324">
        <f t="shared" si="5"/>
        <v>0.5</v>
      </c>
      <c r="AD26" s="324">
        <f t="shared" si="5"/>
        <v>0.5</v>
      </c>
      <c r="AE26" s="324">
        <f t="shared" si="5"/>
        <v>0.5</v>
      </c>
      <c r="AF26" s="324">
        <f t="shared" si="5"/>
        <v>0.5</v>
      </c>
      <c r="AG26" s="324">
        <f t="shared" si="5"/>
        <v>0.5</v>
      </c>
      <c r="AH26" s="324">
        <f t="shared" si="5"/>
        <v>0.5</v>
      </c>
      <c r="AI26" s="324">
        <f t="shared" si="5"/>
        <v>0.5</v>
      </c>
      <c r="AJ26" s="324">
        <f t="shared" si="5"/>
        <v>0.5</v>
      </c>
      <c r="AK26" s="324">
        <f t="shared" si="5"/>
        <v>0.5</v>
      </c>
      <c r="AL26" s="324">
        <f t="shared" si="5"/>
        <v>0.5</v>
      </c>
      <c r="AM26" s="324">
        <f t="shared" si="5"/>
        <v>0.5</v>
      </c>
      <c r="AN26" s="324">
        <f t="shared" si="5"/>
        <v>0.5</v>
      </c>
      <c r="AO26" s="324">
        <f t="shared" si="5"/>
        <v>0.5</v>
      </c>
      <c r="AP26" s="324">
        <f t="shared" si="5"/>
        <v>0.5</v>
      </c>
      <c r="AQ26" s="7"/>
      <c r="AR26" s="7"/>
      <c r="AS26" s="7"/>
      <c r="AT26" s="7"/>
      <c r="AU26" s="7"/>
      <c r="AV26" s="7"/>
      <c r="AW26" s="7"/>
      <c r="AX26" s="7"/>
      <c r="AY26" s="7"/>
      <c r="AZ26" s="7"/>
      <c r="BA26" s="7"/>
    </row>
    <row r="27" spans="1:53" x14ac:dyDescent="0.25">
      <c r="A27" t="s">
        <v>211</v>
      </c>
      <c r="B27" s="261"/>
      <c r="C27" s="261">
        <v>1</v>
      </c>
      <c r="D27" s="261"/>
      <c r="E27" s="261"/>
      <c r="F27" s="261">
        <v>1</v>
      </c>
      <c r="G27" s="261">
        <v>0</v>
      </c>
      <c r="H27" s="261"/>
      <c r="I27" s="261"/>
      <c r="J27" s="261"/>
      <c r="K27" s="261"/>
      <c r="L27" s="261">
        <v>100</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7"/>
      <c r="AR27" s="7"/>
      <c r="AS27" s="7"/>
      <c r="AT27" s="7"/>
      <c r="AU27" s="7"/>
      <c r="AV27" s="7"/>
      <c r="AW27" s="7"/>
      <c r="AX27" s="7"/>
      <c r="AY27" s="7"/>
      <c r="AZ27" s="7"/>
      <c r="BA27" s="7"/>
    </row>
    <row r="28" spans="1:53" x14ac:dyDescent="0.25">
      <c r="A28" t="s">
        <v>212</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7"/>
      <c r="AR28" s="7"/>
      <c r="AS28" s="7"/>
      <c r="AT28" s="7"/>
      <c r="AU28" s="7"/>
      <c r="AV28" s="7"/>
      <c r="AW28" s="7"/>
      <c r="AX28" s="7"/>
      <c r="AY28" s="7"/>
      <c r="AZ28" s="7"/>
      <c r="BA28" s="7"/>
    </row>
    <row r="29" spans="1:53" x14ac:dyDescent="0.25">
      <c r="A29" t="s">
        <v>213</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7"/>
      <c r="AR29" s="7"/>
      <c r="AS29" s="7"/>
      <c r="AT29" s="7"/>
      <c r="AU29" s="7"/>
      <c r="AV29" s="7"/>
      <c r="AW29" s="7"/>
      <c r="AX29" s="7"/>
      <c r="AY29" s="7"/>
      <c r="AZ29" s="7"/>
      <c r="BA29" s="7"/>
    </row>
    <row r="30" spans="1:53"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7"/>
      <c r="AN30" s="7"/>
      <c r="AO30" s="7"/>
      <c r="AP30" s="7"/>
      <c r="AQ30" s="7"/>
      <c r="AR30" s="7"/>
      <c r="AS30" s="7"/>
      <c r="AT30" s="7"/>
      <c r="AU30" s="7"/>
      <c r="AV30" s="7"/>
      <c r="AW30" s="7"/>
      <c r="AX30" s="7"/>
      <c r="AY30" s="7"/>
      <c r="AZ30" s="7"/>
      <c r="BA30" s="7"/>
    </row>
    <row r="31" spans="1:53" ht="15.75" x14ac:dyDescent="0.25">
      <c r="A31" s="24" t="s">
        <v>214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7"/>
      <c r="AN31" s="7"/>
      <c r="AO31" s="7"/>
      <c r="AP31" s="7"/>
      <c r="AQ31" s="7"/>
      <c r="AR31" s="7"/>
      <c r="AS31" s="7"/>
      <c r="AT31" s="7"/>
      <c r="AU31" s="7"/>
      <c r="AV31" s="7"/>
      <c r="AW31" s="7"/>
      <c r="AX31" s="7"/>
      <c r="AY31" s="7"/>
      <c r="AZ31" s="7"/>
      <c r="BA31" s="7"/>
    </row>
    <row r="32" spans="1:53" x14ac:dyDescent="0.25">
      <c r="A32" s="13" t="s">
        <v>215</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7"/>
      <c r="AN32" s="7"/>
      <c r="AO32" s="7"/>
      <c r="AP32" s="7"/>
      <c r="AQ32" s="7"/>
      <c r="AR32" s="7"/>
      <c r="AS32" s="7"/>
      <c r="AT32" s="7"/>
      <c r="AU32" s="7"/>
      <c r="AV32" s="7"/>
      <c r="AW32" s="7"/>
      <c r="AX32" s="7"/>
      <c r="AY32" s="7"/>
      <c r="AZ32" s="7"/>
      <c r="BA32" s="7"/>
    </row>
    <row r="33" spans="1:53" x14ac:dyDescent="0.2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7"/>
      <c r="AN33" s="7"/>
      <c r="AO33" s="7"/>
      <c r="AP33" s="7"/>
      <c r="AQ33" s="7"/>
      <c r="AR33" s="7"/>
      <c r="AS33" s="7"/>
      <c r="AT33" s="7"/>
      <c r="AU33" s="7"/>
      <c r="AV33" s="7"/>
      <c r="AW33" s="7"/>
      <c r="AX33" s="7"/>
      <c r="AY33" s="7"/>
      <c r="AZ33" s="7"/>
      <c r="BA33" s="7"/>
    </row>
    <row r="34" spans="1:53" x14ac:dyDescent="0.25">
      <c r="A34" s="18" t="s">
        <v>207</v>
      </c>
      <c r="B34" s="23">
        <v>2025</v>
      </c>
      <c r="C34" s="23">
        <f t="shared" ref="C34:H34" si="6">B34+1</f>
        <v>2026</v>
      </c>
      <c r="D34" s="23">
        <f t="shared" si="6"/>
        <v>2027</v>
      </c>
      <c r="E34" s="23">
        <f t="shared" si="6"/>
        <v>2028</v>
      </c>
      <c r="F34" s="23">
        <f t="shared" si="6"/>
        <v>2029</v>
      </c>
      <c r="G34" s="23">
        <f t="shared" si="6"/>
        <v>2030</v>
      </c>
      <c r="H34" s="23">
        <f t="shared" si="6"/>
        <v>2031</v>
      </c>
      <c r="I34" s="23">
        <f t="shared" ref="I34:AP34" si="7">H34+1</f>
        <v>2032</v>
      </c>
      <c r="J34" s="23">
        <f t="shared" si="7"/>
        <v>2033</v>
      </c>
      <c r="K34" s="23">
        <f t="shared" si="7"/>
        <v>2034</v>
      </c>
      <c r="L34" s="23">
        <f t="shared" si="7"/>
        <v>2035</v>
      </c>
      <c r="M34" s="23">
        <f t="shared" si="7"/>
        <v>2036</v>
      </c>
      <c r="N34" s="23">
        <f t="shared" si="7"/>
        <v>2037</v>
      </c>
      <c r="O34" s="23">
        <f t="shared" si="7"/>
        <v>2038</v>
      </c>
      <c r="P34" s="23">
        <f t="shared" si="7"/>
        <v>2039</v>
      </c>
      <c r="Q34" s="23">
        <f t="shared" si="7"/>
        <v>2040</v>
      </c>
      <c r="R34" s="23">
        <f t="shared" si="7"/>
        <v>2041</v>
      </c>
      <c r="S34" s="23">
        <f t="shared" si="7"/>
        <v>2042</v>
      </c>
      <c r="T34" s="23">
        <f t="shared" si="7"/>
        <v>2043</v>
      </c>
      <c r="U34" s="23">
        <f t="shared" si="7"/>
        <v>2044</v>
      </c>
      <c r="V34" s="23">
        <f t="shared" si="7"/>
        <v>2045</v>
      </c>
      <c r="W34" s="23">
        <f t="shared" si="7"/>
        <v>2046</v>
      </c>
      <c r="X34" s="23">
        <f t="shared" si="7"/>
        <v>2047</v>
      </c>
      <c r="Y34" s="23">
        <f t="shared" si="7"/>
        <v>2048</v>
      </c>
      <c r="Z34" s="23">
        <f t="shared" si="7"/>
        <v>2049</v>
      </c>
      <c r="AA34" s="23">
        <f t="shared" si="7"/>
        <v>2050</v>
      </c>
      <c r="AB34" s="23">
        <f t="shared" si="7"/>
        <v>2051</v>
      </c>
      <c r="AC34" s="23">
        <f t="shared" si="7"/>
        <v>2052</v>
      </c>
      <c r="AD34" s="23">
        <f t="shared" si="7"/>
        <v>2053</v>
      </c>
      <c r="AE34" s="23">
        <f t="shared" si="7"/>
        <v>2054</v>
      </c>
      <c r="AF34" s="23">
        <f t="shared" si="7"/>
        <v>2055</v>
      </c>
      <c r="AG34" s="23">
        <f t="shared" si="7"/>
        <v>2056</v>
      </c>
      <c r="AH34" s="23">
        <f t="shared" si="7"/>
        <v>2057</v>
      </c>
      <c r="AI34" s="23">
        <f t="shared" si="7"/>
        <v>2058</v>
      </c>
      <c r="AJ34" s="23">
        <f t="shared" si="7"/>
        <v>2059</v>
      </c>
      <c r="AK34" s="23">
        <f t="shared" si="7"/>
        <v>2060</v>
      </c>
      <c r="AL34" s="23">
        <f t="shared" si="7"/>
        <v>2061</v>
      </c>
      <c r="AM34" s="23">
        <f t="shared" si="7"/>
        <v>2062</v>
      </c>
      <c r="AN34" s="23">
        <f t="shared" si="7"/>
        <v>2063</v>
      </c>
      <c r="AO34" s="23">
        <f t="shared" si="7"/>
        <v>2064</v>
      </c>
      <c r="AP34" s="23">
        <f t="shared" si="7"/>
        <v>2065</v>
      </c>
      <c r="AQ34" s="23"/>
      <c r="AR34" s="23"/>
      <c r="AS34" s="23"/>
      <c r="AT34" s="7"/>
      <c r="AU34" s="7"/>
      <c r="AV34" s="7"/>
      <c r="AW34" s="7"/>
      <c r="AX34" s="7"/>
      <c r="AY34" s="7"/>
      <c r="AZ34" s="7"/>
      <c r="BA34" s="7"/>
    </row>
    <row r="35" spans="1:53" x14ac:dyDescent="0.25">
      <c r="A35" t="s">
        <v>208</v>
      </c>
      <c r="B35" s="261">
        <v>0</v>
      </c>
      <c r="C35" s="261">
        <f t="shared" ref="C35:H35" si="8">B35</f>
        <v>0</v>
      </c>
      <c r="D35" s="261">
        <f t="shared" si="8"/>
        <v>0</v>
      </c>
      <c r="E35" s="261">
        <f t="shared" si="8"/>
        <v>0</v>
      </c>
      <c r="F35" s="261">
        <f t="shared" si="8"/>
        <v>0</v>
      </c>
      <c r="G35" s="261">
        <f t="shared" si="8"/>
        <v>0</v>
      </c>
      <c r="H35" s="261">
        <f t="shared" si="8"/>
        <v>0</v>
      </c>
      <c r="I35" s="261">
        <f t="shared" ref="I35:AP35" si="9">H35</f>
        <v>0</v>
      </c>
      <c r="J35" s="261">
        <f t="shared" si="9"/>
        <v>0</v>
      </c>
      <c r="K35" s="261">
        <f t="shared" si="9"/>
        <v>0</v>
      </c>
      <c r="L35" s="261">
        <f t="shared" si="9"/>
        <v>0</v>
      </c>
      <c r="M35" s="261">
        <f t="shared" si="9"/>
        <v>0</v>
      </c>
      <c r="N35" s="261">
        <f t="shared" si="9"/>
        <v>0</v>
      </c>
      <c r="O35" s="261">
        <f t="shared" si="9"/>
        <v>0</v>
      </c>
      <c r="P35" s="261">
        <f t="shared" si="9"/>
        <v>0</v>
      </c>
      <c r="Q35" s="261">
        <f t="shared" si="9"/>
        <v>0</v>
      </c>
      <c r="R35" s="261">
        <f t="shared" si="9"/>
        <v>0</v>
      </c>
      <c r="S35" s="261">
        <f t="shared" si="9"/>
        <v>0</v>
      </c>
      <c r="T35" s="261">
        <f t="shared" si="9"/>
        <v>0</v>
      </c>
      <c r="U35" s="261">
        <f t="shared" si="9"/>
        <v>0</v>
      </c>
      <c r="V35" s="261">
        <f t="shared" si="9"/>
        <v>0</v>
      </c>
      <c r="W35" s="261">
        <f t="shared" si="9"/>
        <v>0</v>
      </c>
      <c r="X35" s="261">
        <f t="shared" si="9"/>
        <v>0</v>
      </c>
      <c r="Y35" s="261">
        <f t="shared" si="9"/>
        <v>0</v>
      </c>
      <c r="Z35" s="261">
        <f t="shared" si="9"/>
        <v>0</v>
      </c>
      <c r="AA35" s="261">
        <f t="shared" si="9"/>
        <v>0</v>
      </c>
      <c r="AB35" s="261">
        <f t="shared" si="9"/>
        <v>0</v>
      </c>
      <c r="AC35" s="261">
        <f t="shared" si="9"/>
        <v>0</v>
      </c>
      <c r="AD35" s="261">
        <f t="shared" si="9"/>
        <v>0</v>
      </c>
      <c r="AE35" s="261">
        <f t="shared" si="9"/>
        <v>0</v>
      </c>
      <c r="AF35" s="261">
        <f t="shared" si="9"/>
        <v>0</v>
      </c>
      <c r="AG35" s="261">
        <f t="shared" si="9"/>
        <v>0</v>
      </c>
      <c r="AH35" s="261">
        <f t="shared" si="9"/>
        <v>0</v>
      </c>
      <c r="AI35" s="261">
        <f t="shared" si="9"/>
        <v>0</v>
      </c>
      <c r="AJ35" s="261">
        <f t="shared" si="9"/>
        <v>0</v>
      </c>
      <c r="AK35" s="261">
        <f t="shared" si="9"/>
        <v>0</v>
      </c>
      <c r="AL35" s="261">
        <f t="shared" si="9"/>
        <v>0</v>
      </c>
      <c r="AM35" s="261">
        <f t="shared" si="9"/>
        <v>0</v>
      </c>
      <c r="AN35" s="261">
        <f t="shared" si="9"/>
        <v>0</v>
      </c>
      <c r="AO35" s="261">
        <f t="shared" si="9"/>
        <v>0</v>
      </c>
      <c r="AP35" s="261">
        <f t="shared" si="9"/>
        <v>0</v>
      </c>
      <c r="AQ35" s="7"/>
      <c r="AR35" s="7"/>
      <c r="AS35" s="7"/>
      <c r="AT35" s="7"/>
      <c r="AU35" s="7"/>
      <c r="AV35" s="7"/>
      <c r="AW35" s="7"/>
      <c r="AX35" s="7"/>
      <c r="AY35" s="7"/>
      <c r="AZ35" s="7"/>
      <c r="BA35" s="7"/>
    </row>
    <row r="36" spans="1:53" x14ac:dyDescent="0.25">
      <c r="A36" t="s">
        <v>209</v>
      </c>
      <c r="B36" s="261"/>
      <c r="C36" s="261"/>
      <c r="D36" s="261"/>
      <c r="E36" s="261"/>
      <c r="F36" s="261"/>
      <c r="G36" s="261"/>
      <c r="H36" s="261"/>
      <c r="I36" s="261"/>
      <c r="J36" s="261"/>
      <c r="K36" s="261"/>
      <c r="L36" s="261"/>
      <c r="M36" s="261"/>
      <c r="N36" s="261"/>
      <c r="O36" s="261"/>
      <c r="P36" s="261"/>
      <c r="Q36" s="261"/>
      <c r="R36" s="261"/>
      <c r="S36" s="261"/>
      <c r="T36" s="261">
        <f>S36</f>
        <v>0</v>
      </c>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7"/>
      <c r="AR36" s="7"/>
      <c r="AS36" s="7"/>
      <c r="AT36" s="7"/>
      <c r="AU36" s="7"/>
      <c r="AV36" s="7"/>
      <c r="AW36" s="7"/>
      <c r="AX36" s="7"/>
      <c r="AY36" s="7"/>
      <c r="AZ36" s="7"/>
      <c r="BA36" s="7"/>
    </row>
    <row r="37" spans="1:53" x14ac:dyDescent="0.25">
      <c r="A37" t="s">
        <v>210</v>
      </c>
      <c r="B37" s="261">
        <v>0</v>
      </c>
      <c r="C37" s="261">
        <f t="shared" ref="C37:H37" si="10">B37</f>
        <v>0</v>
      </c>
      <c r="D37" s="261">
        <f t="shared" si="10"/>
        <v>0</v>
      </c>
      <c r="E37" s="261">
        <f t="shared" si="10"/>
        <v>0</v>
      </c>
      <c r="F37" s="261">
        <f t="shared" si="10"/>
        <v>0</v>
      </c>
      <c r="G37" s="261">
        <f t="shared" si="10"/>
        <v>0</v>
      </c>
      <c r="H37" s="261">
        <f t="shared" si="10"/>
        <v>0</v>
      </c>
      <c r="I37" s="261">
        <f t="shared" ref="I37:S37" si="11">H37</f>
        <v>0</v>
      </c>
      <c r="J37" s="261">
        <f t="shared" si="11"/>
        <v>0</v>
      </c>
      <c r="K37" s="261">
        <f t="shared" si="11"/>
        <v>0</v>
      </c>
      <c r="L37" s="261">
        <f t="shared" si="11"/>
        <v>0</v>
      </c>
      <c r="M37" s="261">
        <f t="shared" si="11"/>
        <v>0</v>
      </c>
      <c r="N37" s="261">
        <f t="shared" si="11"/>
        <v>0</v>
      </c>
      <c r="O37" s="261">
        <f t="shared" si="11"/>
        <v>0</v>
      </c>
      <c r="P37" s="261">
        <f t="shared" si="11"/>
        <v>0</v>
      </c>
      <c r="Q37" s="261">
        <f t="shared" si="11"/>
        <v>0</v>
      </c>
      <c r="R37" s="261">
        <f t="shared" si="11"/>
        <v>0</v>
      </c>
      <c r="S37" s="261">
        <f t="shared" si="11"/>
        <v>0</v>
      </c>
      <c r="T37" s="261">
        <f>S37</f>
        <v>0</v>
      </c>
      <c r="U37" s="261">
        <f t="shared" ref="U37:AP37" si="12">T37</f>
        <v>0</v>
      </c>
      <c r="V37" s="261">
        <f t="shared" si="12"/>
        <v>0</v>
      </c>
      <c r="W37" s="261">
        <f t="shared" si="12"/>
        <v>0</v>
      </c>
      <c r="X37" s="261">
        <f t="shared" si="12"/>
        <v>0</v>
      </c>
      <c r="Y37" s="261">
        <f t="shared" si="12"/>
        <v>0</v>
      </c>
      <c r="Z37" s="261">
        <f t="shared" si="12"/>
        <v>0</v>
      </c>
      <c r="AA37" s="261">
        <f t="shared" si="12"/>
        <v>0</v>
      </c>
      <c r="AB37" s="261">
        <f t="shared" si="12"/>
        <v>0</v>
      </c>
      <c r="AC37" s="261">
        <f t="shared" si="12"/>
        <v>0</v>
      </c>
      <c r="AD37" s="261">
        <f t="shared" si="12"/>
        <v>0</v>
      </c>
      <c r="AE37" s="261">
        <f t="shared" si="12"/>
        <v>0</v>
      </c>
      <c r="AF37" s="261">
        <f t="shared" si="12"/>
        <v>0</v>
      </c>
      <c r="AG37" s="261">
        <f t="shared" si="12"/>
        <v>0</v>
      </c>
      <c r="AH37" s="261">
        <f t="shared" si="12"/>
        <v>0</v>
      </c>
      <c r="AI37" s="261">
        <f t="shared" si="12"/>
        <v>0</v>
      </c>
      <c r="AJ37" s="261">
        <f t="shared" si="12"/>
        <v>0</v>
      </c>
      <c r="AK37" s="261">
        <f t="shared" si="12"/>
        <v>0</v>
      </c>
      <c r="AL37" s="261">
        <f t="shared" si="12"/>
        <v>0</v>
      </c>
      <c r="AM37" s="261">
        <f t="shared" si="12"/>
        <v>0</v>
      </c>
      <c r="AN37" s="261">
        <f t="shared" si="12"/>
        <v>0</v>
      </c>
      <c r="AO37" s="261">
        <f t="shared" si="12"/>
        <v>0</v>
      </c>
      <c r="AP37" s="261">
        <f t="shared" si="12"/>
        <v>0</v>
      </c>
      <c r="AQ37" s="7"/>
      <c r="AR37" s="7"/>
      <c r="AS37" s="7"/>
      <c r="AT37" s="7"/>
      <c r="AU37" s="7"/>
      <c r="AV37" s="7"/>
      <c r="AW37" s="7"/>
      <c r="AX37" s="7"/>
      <c r="AY37" s="7"/>
      <c r="AZ37" s="7"/>
      <c r="BA37" s="7"/>
    </row>
    <row r="38" spans="1:53" x14ac:dyDescent="0.25">
      <c r="A38" t="s">
        <v>211</v>
      </c>
      <c r="B38" s="261">
        <v>0</v>
      </c>
      <c r="C38" s="261">
        <v>0</v>
      </c>
      <c r="D38" s="261">
        <v>0</v>
      </c>
      <c r="E38" s="261">
        <v>0</v>
      </c>
      <c r="F38" s="261"/>
      <c r="G38" s="261"/>
      <c r="H38" s="261"/>
      <c r="I38" s="261"/>
      <c r="J38" s="261"/>
      <c r="K38" s="261"/>
      <c r="L38" s="261"/>
      <c r="M38" s="261"/>
      <c r="N38" s="261"/>
      <c r="O38" s="261"/>
      <c r="P38" s="261"/>
      <c r="Q38" s="261"/>
      <c r="R38" s="261"/>
      <c r="S38" s="261"/>
      <c r="T38" s="261">
        <f>S38</f>
        <v>0</v>
      </c>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7"/>
      <c r="AR38" s="7"/>
      <c r="AS38" s="7"/>
      <c r="AT38" s="7"/>
      <c r="AU38" s="7"/>
      <c r="AV38" s="7"/>
      <c r="AW38" s="7"/>
      <c r="AX38" s="7"/>
      <c r="AY38" s="7"/>
      <c r="AZ38" s="7"/>
      <c r="BA38" s="7"/>
    </row>
    <row r="39" spans="1:53" x14ac:dyDescent="0.25">
      <c r="A39" t="s">
        <v>212</v>
      </c>
      <c r="B39" s="261">
        <v>0</v>
      </c>
      <c r="C39" s="261">
        <f t="shared" ref="C39:H39" si="13">B39</f>
        <v>0</v>
      </c>
      <c r="D39" s="261">
        <f t="shared" si="13"/>
        <v>0</v>
      </c>
      <c r="E39" s="261">
        <f t="shared" si="13"/>
        <v>0</v>
      </c>
      <c r="F39" s="261">
        <f t="shared" si="13"/>
        <v>0</v>
      </c>
      <c r="G39" s="261">
        <f t="shared" si="13"/>
        <v>0</v>
      </c>
      <c r="H39" s="261">
        <f t="shared" si="13"/>
        <v>0</v>
      </c>
      <c r="I39" s="261">
        <f t="shared" ref="I39:S39" si="14">H39</f>
        <v>0</v>
      </c>
      <c r="J39" s="261">
        <f t="shared" si="14"/>
        <v>0</v>
      </c>
      <c r="K39" s="261">
        <f t="shared" si="14"/>
        <v>0</v>
      </c>
      <c r="L39" s="261">
        <f t="shared" si="14"/>
        <v>0</v>
      </c>
      <c r="M39" s="261">
        <f t="shared" si="14"/>
        <v>0</v>
      </c>
      <c r="N39" s="261">
        <f t="shared" si="14"/>
        <v>0</v>
      </c>
      <c r="O39" s="261">
        <f t="shared" si="14"/>
        <v>0</v>
      </c>
      <c r="P39" s="261">
        <f t="shared" si="14"/>
        <v>0</v>
      </c>
      <c r="Q39" s="261">
        <f t="shared" si="14"/>
        <v>0</v>
      </c>
      <c r="R39" s="261">
        <f t="shared" si="14"/>
        <v>0</v>
      </c>
      <c r="S39" s="261">
        <f t="shared" si="14"/>
        <v>0</v>
      </c>
      <c r="T39" s="261">
        <f>S39</f>
        <v>0</v>
      </c>
      <c r="U39" s="261">
        <f t="shared" ref="U39:AP39" si="15">T39</f>
        <v>0</v>
      </c>
      <c r="V39" s="261">
        <f t="shared" si="15"/>
        <v>0</v>
      </c>
      <c r="W39" s="261">
        <f t="shared" si="15"/>
        <v>0</v>
      </c>
      <c r="X39" s="261">
        <f t="shared" si="15"/>
        <v>0</v>
      </c>
      <c r="Y39" s="261">
        <f t="shared" si="15"/>
        <v>0</v>
      </c>
      <c r="Z39" s="261">
        <f t="shared" si="15"/>
        <v>0</v>
      </c>
      <c r="AA39" s="261">
        <f t="shared" si="15"/>
        <v>0</v>
      </c>
      <c r="AB39" s="261">
        <f t="shared" si="15"/>
        <v>0</v>
      </c>
      <c r="AC39" s="261">
        <f t="shared" si="15"/>
        <v>0</v>
      </c>
      <c r="AD39" s="261">
        <f t="shared" si="15"/>
        <v>0</v>
      </c>
      <c r="AE39" s="261">
        <f t="shared" si="15"/>
        <v>0</v>
      </c>
      <c r="AF39" s="261">
        <f t="shared" si="15"/>
        <v>0</v>
      </c>
      <c r="AG39" s="261">
        <f t="shared" si="15"/>
        <v>0</v>
      </c>
      <c r="AH39" s="261">
        <f t="shared" si="15"/>
        <v>0</v>
      </c>
      <c r="AI39" s="261">
        <f t="shared" si="15"/>
        <v>0</v>
      </c>
      <c r="AJ39" s="261">
        <f t="shared" si="15"/>
        <v>0</v>
      </c>
      <c r="AK39" s="261">
        <f t="shared" si="15"/>
        <v>0</v>
      </c>
      <c r="AL39" s="261">
        <f t="shared" si="15"/>
        <v>0</v>
      </c>
      <c r="AM39" s="261">
        <f t="shared" si="15"/>
        <v>0</v>
      </c>
      <c r="AN39" s="261">
        <f t="shared" si="15"/>
        <v>0</v>
      </c>
      <c r="AO39" s="261">
        <f t="shared" si="15"/>
        <v>0</v>
      </c>
      <c r="AP39" s="261">
        <f t="shared" si="15"/>
        <v>0</v>
      </c>
      <c r="AQ39" s="7"/>
      <c r="AR39" s="7"/>
      <c r="AS39" s="7"/>
      <c r="AT39" s="7"/>
      <c r="AU39" s="7"/>
      <c r="AV39" s="7"/>
      <c r="AW39" s="7"/>
      <c r="AX39" s="7"/>
      <c r="AY39" s="7"/>
      <c r="AZ39" s="7"/>
      <c r="BA39" s="7"/>
    </row>
    <row r="40" spans="1:53" x14ac:dyDescent="0.25">
      <c r="A40" t="s">
        <v>213</v>
      </c>
      <c r="B40" s="261">
        <v>0</v>
      </c>
      <c r="C40" s="261">
        <v>0</v>
      </c>
      <c r="D40" s="261">
        <v>0</v>
      </c>
      <c r="E40" s="261">
        <v>0</v>
      </c>
      <c r="F40" s="261"/>
      <c r="G40" s="261"/>
      <c r="H40" s="261"/>
      <c r="I40" s="261"/>
      <c r="J40" s="261"/>
      <c r="K40" s="261"/>
      <c r="L40" s="261"/>
      <c r="M40" s="261"/>
      <c r="N40" s="261"/>
      <c r="O40" s="261"/>
      <c r="P40" s="261"/>
      <c r="Q40" s="261"/>
      <c r="R40" s="261"/>
      <c r="S40" s="261"/>
      <c r="T40" s="261">
        <f>S40</f>
        <v>0</v>
      </c>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7"/>
      <c r="AR40" s="7"/>
      <c r="AS40" s="7"/>
      <c r="AT40" s="7"/>
      <c r="AU40" s="7"/>
      <c r="AV40" s="7"/>
      <c r="AW40" s="7"/>
      <c r="AX40" s="7"/>
      <c r="AY40" s="7"/>
      <c r="AZ40" s="7"/>
      <c r="BA40" s="7"/>
    </row>
    <row r="41" spans="1:53"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7"/>
      <c r="AN41" s="7"/>
      <c r="AO41" s="7"/>
      <c r="AP41" s="7"/>
      <c r="AQ41" s="7"/>
      <c r="AR41" s="7"/>
      <c r="AS41" s="7"/>
      <c r="AT41" s="7"/>
      <c r="AU41" s="7"/>
      <c r="AV41" s="7"/>
      <c r="AW41" s="7"/>
      <c r="AX41" s="7"/>
      <c r="AY41" s="7"/>
      <c r="AZ41" s="7"/>
      <c r="BA41" s="7"/>
    </row>
    <row r="42" spans="1:53" ht="15.75" x14ac:dyDescent="0.25">
      <c r="A42" s="10" t="s">
        <v>216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53" x14ac:dyDescent="0.25">
      <c r="B43" s="1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53" x14ac:dyDescent="0.25">
      <c r="A44" t="s">
        <v>217</v>
      </c>
      <c r="B44" s="261">
        <v>0</v>
      </c>
      <c r="C44" s="3" t="s">
        <v>218</v>
      </c>
      <c r="D44" s="1"/>
      <c r="E44" s="21" t="s">
        <v>219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53" x14ac:dyDescent="0.25">
      <c r="A45" t="s">
        <v>221</v>
      </c>
      <c r="B45" s="261">
        <v>0</v>
      </c>
      <c r="C45" s="3" t="s">
        <v>222</v>
      </c>
      <c r="D45" s="1"/>
      <c r="E45" s="21" t="s">
        <v>220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53" x14ac:dyDescent="0.25">
      <c r="B46" s="1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53" x14ac:dyDescent="0.25">
      <c r="B47" s="7"/>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50" spans="2:8" x14ac:dyDescent="0.25">
      <c r="B50" s="471"/>
      <c r="C50" s="471"/>
      <c r="D50" s="471"/>
      <c r="E50" s="471"/>
    </row>
    <row r="51" spans="2:8" x14ac:dyDescent="0.25">
      <c r="B51"/>
      <c r="C51"/>
    </row>
    <row r="52" spans="2:8" x14ac:dyDescent="0.25">
      <c r="B52"/>
      <c r="C52"/>
    </row>
    <row r="53" spans="2:8" x14ac:dyDescent="0.25">
      <c r="B53"/>
      <c r="C53"/>
      <c r="G53" s="143"/>
      <c r="H53" s="143"/>
    </row>
    <row r="54" spans="2:8" x14ac:dyDescent="0.25">
      <c r="B54"/>
      <c r="C54"/>
    </row>
    <row r="55" spans="2:8" x14ac:dyDescent="0.25">
      <c r="B55"/>
      <c r="C55" s="188"/>
      <c r="D55" s="188"/>
      <c r="E55" s="188"/>
      <c r="F55" s="188"/>
      <c r="G55" s="188"/>
      <c r="H55" s="188"/>
    </row>
    <row r="56" spans="2:8" x14ac:dyDescent="0.25">
      <c r="B56"/>
      <c r="C56" s="188"/>
      <c r="D56" s="188"/>
      <c r="E56" s="188"/>
      <c r="F56" s="188"/>
      <c r="G56" s="188"/>
      <c r="H56" s="188"/>
    </row>
    <row r="57" spans="2:8" x14ac:dyDescent="0.25">
      <c r="H57" s="18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188"/>
  <sheetViews>
    <sheetView topLeftCell="A106" workbookViewId="0">
      <selection activeCell="C66" sqref="C66"/>
    </sheetView>
  </sheetViews>
  <sheetFormatPr defaultRowHeight="15" x14ac:dyDescent="0.25"/>
  <cols>
    <col min="1" max="1" width="28.42578125" customWidth="1"/>
    <col min="2" max="2" width="22.5703125" customWidth="1"/>
    <col min="3" max="3" width="14.42578125" bestFit="1" customWidth="1"/>
    <col min="4" max="4" width="15" bestFit="1" customWidth="1"/>
    <col min="5" max="5" width="13.28515625" customWidth="1"/>
    <col min="6" max="6" width="20.85546875" customWidth="1"/>
    <col min="7" max="7" width="27" customWidth="1"/>
    <col min="8" max="8" width="13.85546875" customWidth="1"/>
    <col min="9" max="9" width="10.7109375" customWidth="1"/>
    <col min="10" max="10" width="12.7109375" customWidth="1"/>
    <col min="11" max="11" width="16.5703125" customWidth="1"/>
    <col min="12" max="12" width="28.85546875" customWidth="1"/>
    <col min="13" max="13" width="10.42578125" customWidth="1"/>
    <col min="14" max="15" width="15" bestFit="1" customWidth="1"/>
    <col min="16" max="16" width="13.5703125" customWidth="1"/>
    <col min="17" max="17" width="15" bestFit="1" customWidth="1"/>
    <col min="18" max="18" width="10.42578125" customWidth="1"/>
    <col min="19" max="19" width="15" bestFit="1" customWidth="1"/>
    <col min="20" max="20" width="10.85546875" customWidth="1"/>
    <col min="21" max="21" width="10.140625" customWidth="1"/>
    <col min="22" max="22" width="11.140625" customWidth="1"/>
    <col min="23" max="23" width="11" customWidth="1"/>
    <col min="24" max="25" width="15" bestFit="1" customWidth="1"/>
    <col min="26" max="26" width="10.42578125" customWidth="1"/>
    <col min="27" max="27" width="11.28515625" customWidth="1"/>
    <col min="28" max="28" width="10.28515625" customWidth="1"/>
    <col min="29" max="29" width="11.140625" customWidth="1"/>
    <col min="30" max="30" width="10.28515625" customWidth="1"/>
    <col min="31" max="32" width="10.85546875" customWidth="1"/>
    <col min="33" max="33" width="10.42578125" customWidth="1"/>
    <col min="34" max="34" width="12" customWidth="1"/>
    <col min="35" max="35" width="10.5703125" customWidth="1"/>
    <col min="36" max="36" width="12.7109375" customWidth="1"/>
    <col min="37" max="38" width="15" bestFit="1" customWidth="1"/>
    <col min="39" max="39" width="11.140625" customWidth="1"/>
    <col min="40" max="41" width="15" bestFit="1" customWidth="1"/>
    <col min="42" max="42" width="10.85546875" customWidth="1"/>
    <col min="46" max="46" width="10.5703125" bestFit="1" customWidth="1"/>
  </cols>
  <sheetData>
    <row r="1" spans="1:14" ht="26.25" x14ac:dyDescent="0.4">
      <c r="A1" s="166" t="s">
        <v>535</v>
      </c>
    </row>
    <row r="3" spans="1:14" ht="15.75" x14ac:dyDescent="0.25">
      <c r="A3" s="171" t="s">
        <v>383</v>
      </c>
    </row>
    <row r="5" spans="1:14" x14ac:dyDescent="0.25">
      <c r="A5" t="s">
        <v>384</v>
      </c>
      <c r="B5" s="260">
        <v>5000</v>
      </c>
      <c r="C5" s="172" t="s">
        <v>385</v>
      </c>
      <c r="D5" s="230" t="s">
        <v>378</v>
      </c>
    </row>
    <row r="6" spans="1:14" x14ac:dyDescent="0.25">
      <c r="D6" s="230" t="s">
        <v>379</v>
      </c>
    </row>
    <row r="7" spans="1:14" x14ac:dyDescent="0.25">
      <c r="A7" t="s">
        <v>6</v>
      </c>
      <c r="B7" s="260">
        <v>40</v>
      </c>
      <c r="C7" s="3" t="s">
        <v>536</v>
      </c>
      <c r="D7" s="230" t="s">
        <v>380</v>
      </c>
    </row>
    <row r="8" spans="1:14" x14ac:dyDescent="0.25">
      <c r="A8" t="s">
        <v>11</v>
      </c>
      <c r="B8" s="260">
        <v>10</v>
      </c>
      <c r="C8" s="3" t="s">
        <v>536</v>
      </c>
      <c r="D8" s="230" t="s">
        <v>381</v>
      </c>
      <c r="M8" s="167"/>
      <c r="N8" s="168"/>
    </row>
    <row r="9" spans="1:14" x14ac:dyDescent="0.25">
      <c r="A9" t="s">
        <v>15</v>
      </c>
      <c r="B9" s="260">
        <v>40</v>
      </c>
      <c r="C9" s="3" t="s">
        <v>536</v>
      </c>
      <c r="D9" s="230" t="s">
        <v>382</v>
      </c>
    </row>
    <row r="10" spans="1:14" x14ac:dyDescent="0.25">
      <c r="A10" t="s">
        <v>22</v>
      </c>
      <c r="B10" s="260">
        <v>10</v>
      </c>
      <c r="C10" s="3" t="s">
        <v>536</v>
      </c>
      <c r="D10" s="230" t="s">
        <v>539</v>
      </c>
    </row>
    <row r="11" spans="1:14" x14ac:dyDescent="0.25">
      <c r="B11" s="260">
        <f>SUM(B7:B10)</f>
        <v>100</v>
      </c>
      <c r="C11" s="229" t="s">
        <v>536</v>
      </c>
      <c r="D11" s="230"/>
    </row>
    <row r="12" spans="1:14" ht="15.75" thickBot="1" x14ac:dyDescent="0.3"/>
    <row r="13" spans="1:14" x14ac:dyDescent="0.25">
      <c r="A13" s="39" t="s">
        <v>386</v>
      </c>
      <c r="F13" s="246" t="s">
        <v>540</v>
      </c>
      <c r="G13" s="247" t="s">
        <v>542</v>
      </c>
      <c r="H13" s="248"/>
      <c r="I13" s="248"/>
      <c r="J13" s="248"/>
      <c r="K13" s="248"/>
      <c r="L13" s="248"/>
      <c r="M13" s="249"/>
    </row>
    <row r="14" spans="1:14" x14ac:dyDescent="0.25">
      <c r="A14" s="39" t="s">
        <v>387</v>
      </c>
      <c r="F14" s="250" t="s">
        <v>541</v>
      </c>
      <c r="G14" s="251" t="s">
        <v>546</v>
      </c>
      <c r="H14" s="2"/>
      <c r="I14" s="2"/>
      <c r="J14" s="2"/>
      <c r="K14" s="2"/>
      <c r="L14" s="2"/>
      <c r="M14" s="252"/>
    </row>
    <row r="15" spans="1:14" x14ac:dyDescent="0.25">
      <c r="F15" s="250"/>
      <c r="G15" s="251" t="s">
        <v>547</v>
      </c>
      <c r="H15" s="2"/>
      <c r="I15" s="2"/>
      <c r="J15" s="2"/>
      <c r="K15" s="2"/>
      <c r="L15" s="2"/>
      <c r="M15" s="252"/>
    </row>
    <row r="16" spans="1:14" x14ac:dyDescent="0.25">
      <c r="A16" s="16"/>
      <c r="F16" s="250" t="s">
        <v>348</v>
      </c>
      <c r="G16" s="251" t="s">
        <v>548</v>
      </c>
      <c r="H16" s="2"/>
      <c r="I16" s="2"/>
      <c r="J16" s="2"/>
      <c r="K16" s="2"/>
      <c r="L16" s="2"/>
      <c r="M16" s="252"/>
    </row>
    <row r="17" spans="4:41" x14ac:dyDescent="0.25">
      <c r="F17" s="250" t="s">
        <v>335</v>
      </c>
      <c r="G17" s="251" t="s">
        <v>549</v>
      </c>
      <c r="H17" s="2"/>
      <c r="I17" s="2"/>
      <c r="J17" s="2"/>
      <c r="K17" s="2"/>
      <c r="L17" s="2"/>
      <c r="M17" s="252"/>
      <c r="AI17" s="1"/>
      <c r="AJ17" s="1"/>
    </row>
    <row r="18" spans="4:41" ht="15.75" thickBot="1" x14ac:dyDescent="0.3">
      <c r="F18" s="253" t="s">
        <v>551</v>
      </c>
      <c r="G18" s="254" t="s">
        <v>563</v>
      </c>
      <c r="H18" s="255"/>
      <c r="I18" s="255"/>
      <c r="J18" s="255"/>
      <c r="K18" s="255"/>
      <c r="L18" s="255"/>
      <c r="M18" s="256"/>
      <c r="AI18" s="1"/>
      <c r="AJ18" s="1"/>
    </row>
    <row r="20" spans="4:41" x14ac:dyDescent="0.25">
      <c r="D20" t="s">
        <v>388</v>
      </c>
    </row>
    <row r="21" spans="4:41" x14ac:dyDescent="0.25">
      <c r="D21" t="s">
        <v>389</v>
      </c>
    </row>
    <row r="22" spans="4:41" ht="18.75" x14ac:dyDescent="0.3">
      <c r="G22" s="28" t="s">
        <v>332</v>
      </c>
    </row>
    <row r="24" spans="4:41" x14ac:dyDescent="0.25">
      <c r="G24" s="231"/>
      <c r="H24" s="231"/>
      <c r="I24" s="231"/>
      <c r="J24" s="231"/>
      <c r="K24" s="231"/>
      <c r="L24" s="231"/>
      <c r="M24" s="231"/>
    </row>
    <row r="25" spans="4:41" x14ac:dyDescent="0.25">
      <c r="G25" s="232" t="s">
        <v>390</v>
      </c>
      <c r="H25" s="231"/>
      <c r="I25" s="231"/>
      <c r="J25" s="231"/>
      <c r="K25" s="231"/>
      <c r="L25" s="231"/>
      <c r="M25" s="231"/>
    </row>
    <row r="26" spans="4:41" x14ac:dyDescent="0.25">
      <c r="G26" s="231"/>
      <c r="J26" s="234"/>
      <c r="K26" s="231"/>
      <c r="L26" s="231"/>
      <c r="M26" s="231"/>
      <c r="X26" s="174" t="s">
        <v>392</v>
      </c>
      <c r="Y26" s="174"/>
      <c r="Z26" s="174"/>
      <c r="AA26" s="174"/>
      <c r="AB26" s="174"/>
      <c r="AC26" s="174"/>
      <c r="AD26" s="174"/>
      <c r="AE26" s="174"/>
      <c r="AH26" s="175" t="s">
        <v>393</v>
      </c>
      <c r="AI26" s="175"/>
      <c r="AJ26" s="175"/>
      <c r="AK26" s="175"/>
      <c r="AL26" s="175"/>
      <c r="AM26" s="175"/>
      <c r="AN26" s="175"/>
      <c r="AO26" s="175"/>
    </row>
    <row r="27" spans="4:41" x14ac:dyDescent="0.25">
      <c r="G27" s="231"/>
      <c r="H27" s="235" t="s">
        <v>394</v>
      </c>
      <c r="I27" s="231"/>
      <c r="J27" s="231"/>
      <c r="K27" s="231"/>
      <c r="L27" s="231"/>
      <c r="M27" s="231"/>
      <c r="P27" s="176" t="s">
        <v>395</v>
      </c>
      <c r="Q27" s="176"/>
      <c r="R27" s="176"/>
      <c r="S27" s="176"/>
      <c r="T27" s="177" t="s">
        <v>396</v>
      </c>
      <c r="U27" s="177"/>
      <c r="V27" s="177"/>
      <c r="W27" s="177"/>
      <c r="X27" t="s">
        <v>397</v>
      </c>
      <c r="AB27" t="s">
        <v>397</v>
      </c>
      <c r="AH27" t="s">
        <v>397</v>
      </c>
      <c r="AL27" t="s">
        <v>397</v>
      </c>
    </row>
    <row r="28" spans="4:41" x14ac:dyDescent="0.25">
      <c r="D28" t="s">
        <v>623</v>
      </c>
      <c r="G28" s="231"/>
      <c r="H28" s="231"/>
      <c r="I28" s="231"/>
      <c r="J28" s="231"/>
      <c r="K28" s="231"/>
      <c r="L28" s="236" t="s">
        <v>258</v>
      </c>
      <c r="M28" s="236" t="s">
        <v>318</v>
      </c>
      <c r="P28" s="178" t="s">
        <v>399</v>
      </c>
      <c r="X28" s="179" t="s">
        <v>400</v>
      </c>
      <c r="Y28" s="180"/>
      <c r="Z28" s="180"/>
      <c r="AA28" s="180"/>
      <c r="AB28" s="181" t="s">
        <v>401</v>
      </c>
      <c r="AC28" s="182"/>
      <c r="AD28" s="182"/>
      <c r="AE28" s="182"/>
      <c r="AF28" s="176"/>
      <c r="AG28" s="176"/>
      <c r="AH28" s="183" t="s">
        <v>400</v>
      </c>
      <c r="AI28" s="184"/>
      <c r="AJ28" s="184"/>
      <c r="AK28" s="184"/>
      <c r="AL28" s="185" t="s">
        <v>401</v>
      </c>
      <c r="AM28" s="186"/>
      <c r="AN28" s="186"/>
      <c r="AO28" s="186"/>
    </row>
    <row r="29" spans="4:41" ht="85.5" customHeight="1" x14ac:dyDescent="0.25">
      <c r="G29" s="231"/>
      <c r="H29" s="237"/>
      <c r="I29" s="231"/>
      <c r="J29" s="238" t="s">
        <v>403</v>
      </c>
      <c r="K29" s="238" t="s">
        <v>404</v>
      </c>
      <c r="L29" s="237" t="s">
        <v>405</v>
      </c>
      <c r="M29" s="237" t="s">
        <v>405</v>
      </c>
      <c r="N29" s="167" t="s">
        <v>406</v>
      </c>
      <c r="O29" s="167" t="s">
        <v>407</v>
      </c>
      <c r="P29" s="167" t="s">
        <v>408</v>
      </c>
      <c r="Q29" s="167" t="s">
        <v>409</v>
      </c>
      <c r="R29" s="167" t="s">
        <v>410</v>
      </c>
      <c r="S29" s="167" t="s">
        <v>411</v>
      </c>
      <c r="T29" s="167" t="s">
        <v>412</v>
      </c>
      <c r="U29" s="167" t="s">
        <v>413</v>
      </c>
      <c r="V29" s="167" t="s">
        <v>414</v>
      </c>
      <c r="W29" s="167" t="s">
        <v>415</v>
      </c>
      <c r="X29" s="167" t="s">
        <v>416</v>
      </c>
      <c r="Y29" s="167" t="s">
        <v>417</v>
      </c>
      <c r="Z29" s="167" t="s">
        <v>418</v>
      </c>
      <c r="AA29" s="167" t="s">
        <v>419</v>
      </c>
      <c r="AB29" s="167" t="s">
        <v>420</v>
      </c>
      <c r="AC29" s="167" t="s">
        <v>421</v>
      </c>
      <c r="AD29" s="167" t="s">
        <v>422</v>
      </c>
      <c r="AE29" s="167" t="s">
        <v>423</v>
      </c>
      <c r="AF29" s="167" t="s">
        <v>424</v>
      </c>
      <c r="AG29" s="167" t="s">
        <v>425</v>
      </c>
      <c r="AH29" s="167" t="s">
        <v>426</v>
      </c>
      <c r="AI29" s="167" t="s">
        <v>427</v>
      </c>
      <c r="AJ29" s="167" t="s">
        <v>428</v>
      </c>
      <c r="AK29" s="167" t="s">
        <v>429</v>
      </c>
      <c r="AL29" s="167" t="s">
        <v>430</v>
      </c>
      <c r="AM29" s="167" t="s">
        <v>431</v>
      </c>
      <c r="AN29" s="167" t="s">
        <v>432</v>
      </c>
      <c r="AO29" s="167" t="s">
        <v>433</v>
      </c>
    </row>
    <row r="30" spans="4:41" ht="24.75" x14ac:dyDescent="0.25">
      <c r="M30" s="273" t="s">
        <v>568</v>
      </c>
      <c r="P30" s="150"/>
      <c r="Q30" s="150"/>
      <c r="R30" s="150"/>
      <c r="S30" s="150"/>
      <c r="T30" s="20"/>
      <c r="U30" s="20"/>
      <c r="V30" s="20"/>
      <c r="W30" s="20"/>
      <c r="X30" s="51"/>
      <c r="Y30" s="51"/>
      <c r="Z30" s="51"/>
      <c r="AA30" s="51"/>
      <c r="AB30" s="20"/>
      <c r="AC30" s="20"/>
      <c r="AD30" s="20"/>
      <c r="AE30" s="20"/>
      <c r="AH30" s="20"/>
      <c r="AI30" s="20"/>
      <c r="AJ30" s="20"/>
      <c r="AK30" s="20"/>
      <c r="AL30" s="20"/>
      <c r="AM30" s="20"/>
      <c r="AN30" s="20"/>
      <c r="AO30" s="20"/>
    </row>
    <row r="31" spans="4:41" x14ac:dyDescent="0.25">
      <c r="G31" s="231"/>
      <c r="H31" s="231" t="s">
        <v>438</v>
      </c>
      <c r="I31" s="231"/>
      <c r="J31" s="231"/>
      <c r="K31" s="235" t="s">
        <v>439</v>
      </c>
      <c r="L31" s="231"/>
      <c r="M31" s="231"/>
      <c r="N31" s="1"/>
      <c r="O31" s="1"/>
      <c r="P31" s="1"/>
      <c r="Q31" s="1"/>
      <c r="R31" s="1"/>
      <c r="S31" s="1"/>
      <c r="X31" s="188"/>
      <c r="Y31" s="188"/>
      <c r="Z31" s="188"/>
      <c r="AA31" s="188"/>
    </row>
    <row r="32" spans="4:41" x14ac:dyDescent="0.25">
      <c r="D32" t="s">
        <v>441</v>
      </c>
      <c r="G32" s="231" t="s">
        <v>771</v>
      </c>
      <c r="H32" s="261">
        <v>100</v>
      </c>
      <c r="I32" s="231" t="s">
        <v>1</v>
      </c>
      <c r="J32" s="261">
        <v>40</v>
      </c>
      <c r="K32" s="261">
        <v>-5</v>
      </c>
      <c r="L32" s="261">
        <v>0.5</v>
      </c>
      <c r="M32" s="261">
        <v>0.4</v>
      </c>
      <c r="N32" s="61">
        <f>ABS(K32)/J32*100</f>
        <v>12.5</v>
      </c>
      <c r="O32" s="61">
        <f>(M32-L32)/L32*100</f>
        <v>-19.999999999999996</v>
      </c>
      <c r="P32" s="150">
        <f>B$5*B$7/100*H32/100</f>
        <v>2000</v>
      </c>
      <c r="Q32" s="150">
        <f>B$5*B$8/100*H32/100</f>
        <v>500</v>
      </c>
      <c r="R32" s="150">
        <f>B$5*B$9/100*H32/100</f>
        <v>2000</v>
      </c>
      <c r="S32" s="150">
        <f>B$5*B$10/100*H32/100</f>
        <v>500</v>
      </c>
      <c r="T32" s="51">
        <f>IF($M32&gt;0,P32*($N32/100*'Kalkylvärden 1'!$B$19+O32/100*'Kalkylvärden 1'!$C$19),-P32)</f>
        <v>-287.87499999999989</v>
      </c>
      <c r="U32" s="51">
        <f>IF($M32&gt;0,Q32*($N32/100*'Kalkylvärden 1'!B20+$O32/100*'Kalkylvärden 1'!C20),-Q32)</f>
        <v>-139.81874999999999</v>
      </c>
      <c r="V32" s="51">
        <f>IF($M32&gt;0,R32*($N32/100*'Kalkylvärden 1'!B21+$O32/100*'Kalkylvärden 1'!C21),-R32)</f>
        <v>-360.65000000000003</v>
      </c>
      <c r="W32" s="51">
        <f>IF(M32&gt;0,S32*($N32/100*'Kalkylvärden 1'!B22+$O32/100*'Kalkylvärden 1'!C22),-S32)</f>
        <v>-100.53750000000001</v>
      </c>
      <c r="X32" s="51">
        <f>(P32+T32)*$K32*'Kalkylvärden 1'!$C$31/60</f>
        <v>-12127.552083333334</v>
      </c>
      <c r="Y32" s="51">
        <f>(Q32+U32)*$K32*'Kalkylvärden 1'!$O$31/60</f>
        <v>-8644.35</v>
      </c>
      <c r="Z32" s="51">
        <f>(R32+V32)*$K32*'Kalkylvärden 1'!$B$31/60</f>
        <v>-8961.7799999999988</v>
      </c>
      <c r="AA32" s="51">
        <f>(S32+W32)*$K32*'Kalkylvärden 1'!$P$31/60</f>
        <v>-9587.1</v>
      </c>
      <c r="AB32" s="188">
        <f>ABS(T32)*$K32*'Kalkylvärden 1'!$C$31/(60*2)</f>
        <v>-1019.5572916666663</v>
      </c>
      <c r="AC32" s="188">
        <f>ABS(U32)*$K32*'Kalkylvärden 1'!$O$31/(60*2)</f>
        <v>-1677.825</v>
      </c>
      <c r="AD32" s="188">
        <f>ABS(V32)*$K32*'Kalkylvärden 1'!$B$31/(60*2)</f>
        <v>-985.77666666666676</v>
      </c>
      <c r="AE32" s="188">
        <f>ABS(W32)*$K32*'Kalkylvärden 1'!$P$31/(60*2)</f>
        <v>-1206.4500000000003</v>
      </c>
      <c r="AF32">
        <f>60/L32</f>
        <v>120</v>
      </c>
      <c r="AG32">
        <f>60/M32</f>
        <v>150</v>
      </c>
      <c r="AH32" s="188">
        <f>(P32+T32)*($AF32-$AG32)*(('Kalkylvärden 1'!$G$54*AG32+'Kalkylvärden 1'!$H$54)+('Kalkylvärden 1'!$G$54*'Person UA1'!AF32+'Kalkylvärden 1'!$H$54))/2</f>
        <v>27089.241749999994</v>
      </c>
      <c r="AI32" s="188">
        <f>(Q32+U32)*($AF32-$AG32)*(('Kalkylvärden 1'!$G$56*'Person UA1'!AG32+'Kalkylvärden 1'!$H$56)+('Kalkylvärden 1'!$G$56*$AF32+'Kalkylvärden 1'!$H$56))/2</f>
        <v>-26292.871068749999</v>
      </c>
      <c r="AJ32" s="188">
        <f>(R32+V32)*($AF32-$AG32)*(('Kalkylvärden 1'!$G$53*$AG32+'Kalkylvärden 1'!H53)+('Kalkylvärden 1'!$G$53*$AF32+'Kalkylvärden 1'!$H$53))/2</f>
        <v>-29409.938999999998</v>
      </c>
      <c r="AK32" s="188">
        <f>(S32+W32)*($AF32-$AG32)*(('Kalkylvärden 1'!$G$55*$AG32+'Kalkylvärden 1'!$H$55)+('Kalkylvärden 1'!$G$55*$AF32+'Kalkylvärden 1'!$H$55))/2</f>
        <v>-41394.701025000002</v>
      </c>
      <c r="AL32" s="188">
        <f>ABS(T32)*($AF32-$AG32)/2*(('Kalkylvärden 1'!G54*$AF32+'Kalkylvärden 1'!H54)+('Kalkylvärden 1'!G54*$AG32+'Kalkylvärden 1'!H54))/2</f>
        <v>2277.3791249999986</v>
      </c>
      <c r="AM32" s="188">
        <f>ABS(U32)*($AF32-$AG32)/2*(('Kalkylvärden 1'!$G$56*$AF32+'Kalkylvärden 1'!$H$56)+('Kalkylvärden 1'!$G$56*$AG32+'Kalkylvärden 1'!$H$56))/2</f>
        <v>-5103.3144656249997</v>
      </c>
      <c r="AN32" s="188">
        <f>ABS(V32)*($AF32-$AG32)/2*(('Kalkylvärden 1'!$G$53*$AF32+'Kalkylvärden 1'!$H$53)+('Kalkylvärden 1'!$G$53*$AG32+'Kalkylvärden 1'!$H$53))/2</f>
        <v>-3235.0305000000003</v>
      </c>
      <c r="AO32" s="188">
        <f>ABS(W32)*($AF32-$AG32)/2*(('Kalkylvärden 1'!G55*$AF32+'Kalkylvärden 1'!H55)+('Kalkylvärden 1'!G55*$AG32+'Kalkylvärden 1'!H55))/2</f>
        <v>-5209.1494875000008</v>
      </c>
    </row>
    <row r="33" spans="7:41" x14ac:dyDescent="0.25">
      <c r="G33" s="231" t="s">
        <v>772</v>
      </c>
      <c r="H33" s="261"/>
      <c r="I33" s="231" t="s">
        <v>1</v>
      </c>
      <c r="J33" s="261"/>
      <c r="K33" s="261"/>
      <c r="L33" s="261"/>
      <c r="M33" s="261"/>
      <c r="N33" s="61" t="e">
        <f t="shared" ref="N33:N45" si="0">ABS(K33)/J33*100</f>
        <v>#DIV/0!</v>
      </c>
      <c r="O33" s="61" t="e">
        <f t="shared" ref="O33:O45" si="1">(M33-L33)/L33*100</f>
        <v>#DIV/0!</v>
      </c>
      <c r="P33" s="150">
        <f t="shared" ref="P33:P45" si="2">B$5*B$7/100*H33/100</f>
        <v>0</v>
      </c>
      <c r="Q33" s="150">
        <f t="shared" ref="Q33:Q45" si="3">B$5*B$8/100*H33/100</f>
        <v>0</v>
      </c>
      <c r="R33" s="150">
        <f t="shared" ref="R33:R45" si="4">B$5*B$9/100*H33/100</f>
        <v>0</v>
      </c>
      <c r="S33" s="150">
        <f t="shared" ref="S33:S45" si="5">B$5*B$10/100*H33/100</f>
        <v>0</v>
      </c>
      <c r="T33" s="51">
        <f>IF($M33&gt;0,P33*($N33/100*'Kalkylvärden 1'!$B$19+O33/100*'Kalkylvärden 1'!$C$19),-P33)</f>
        <v>0</v>
      </c>
      <c r="U33" s="51">
        <f>IF($M33&gt;0,Q33*($N33/100*'Kalkylvärden 1'!B21+$O33/100*'Kalkylvärden 1'!C21),-Q33)</f>
        <v>0</v>
      </c>
      <c r="V33" s="51">
        <f>IF($M33&gt;0,R33*($N33/100*'Kalkylvärden 1'!B22+$O33/100*'Kalkylvärden 1'!C22),-R33)</f>
        <v>0</v>
      </c>
      <c r="W33" s="51">
        <f>IF(M33&gt;0,S33*($N33/100*'Kalkylvärden 1'!B24+$O33/100*Projektspecifikt!#REF!),-S33)</f>
        <v>0</v>
      </c>
      <c r="X33" s="51">
        <f>(P33+T33)*$K33*'Kalkylvärden 1'!$C$31/60</f>
        <v>0</v>
      </c>
      <c r="Y33" s="51">
        <f>(Q33+U33)*$K33*'Kalkylvärden 1'!$O$31/60</f>
        <v>0</v>
      </c>
      <c r="Z33" s="51">
        <f>(R33+V33)*$K33*'Kalkylvärden 1'!$B$31/60</f>
        <v>0</v>
      </c>
      <c r="AA33" s="51">
        <f>(S33+W33)*$K33*'Kalkylvärden 1'!$P$31/60</f>
        <v>0</v>
      </c>
      <c r="AB33" s="188">
        <f>ABS(T33)*$K33*'Kalkylvärden 1'!$C$31/(60*2)</f>
        <v>0</v>
      </c>
      <c r="AC33" s="188">
        <f>ABS(U33)*$K33*'Kalkylvärden 1'!$C$31/(60*2)</f>
        <v>0</v>
      </c>
      <c r="AD33" s="188">
        <f>ABS(V33)*$K33*'Kalkylvärden 1'!$C$31/(60*2)</f>
        <v>0</v>
      </c>
      <c r="AE33" s="188">
        <f>ABS(W33)*$K33*'Kalkylvärden 1'!$C$31/(60*2)</f>
        <v>0</v>
      </c>
      <c r="AF33" t="e">
        <f t="shared" ref="AF33:AG45" si="6">60/L33</f>
        <v>#DIV/0!</v>
      </c>
      <c r="AG33" t="e">
        <f t="shared" si="6"/>
        <v>#DIV/0!</v>
      </c>
      <c r="AH33" s="188" t="e">
        <f>(P33+T33)*($AF33-$AG33)*(('Kalkylvärden 1'!$G$54*AG33+'Kalkylvärden 1'!$H$54)+('Kalkylvärden 1'!$G$54*'Person UA1'!AF33+'Kalkylvärden 1'!$H$54))/2</f>
        <v>#DIV/0!</v>
      </c>
      <c r="AI33" s="188" t="e">
        <f>(Q33+U33)*($AF33-$AG33)*(('Kalkylvärden 1'!$G$56*'Person UA1'!AG33+'Kalkylvärden 1'!$H$56)+('Kalkylvärden 1'!$G$56*$AF33+'Kalkylvärden 1'!$H$56))/2</f>
        <v>#DIV/0!</v>
      </c>
      <c r="AJ33" s="188" t="e">
        <f>(R33+V33)*($AF33-$AG33)*(('Kalkylvärden 1'!$G$53*$AG33+'Kalkylvärden 1'!H54)+('Kalkylvärden 1'!$G$53*$AF33+'Kalkylvärden 1'!$H$53))/2</f>
        <v>#DIV/0!</v>
      </c>
      <c r="AK33" s="188" t="e">
        <f>(S33+W33)*($AF33-$AG33)*(('Kalkylvärden 1'!$G$55*$AG33+'Kalkylvärden 1'!$H$55)+('Kalkylvärden 1'!$G$55*$AF33+'Kalkylvärden 1'!$H$55))/2</f>
        <v>#DIV/0!</v>
      </c>
      <c r="AL33" s="188" t="e">
        <f>ABS(T33)*($AF33-$AG33)/2*(('Kalkylvärden 1'!G55*$AF33+'Kalkylvärden 1'!H55)+('Kalkylvärden 1'!G55*$AG33+'Kalkylvärden 1'!H55))/2</f>
        <v>#DIV/0!</v>
      </c>
      <c r="AM33" s="188" t="e">
        <f>ABS(U33)*($AF33-$AG33)/2*(('Kalkylvärden 1'!$G$56*$AF33+'Kalkylvärden 1'!$H$56)+('Kalkylvärden 1'!$G$56*$AG33+'Kalkylvärden 1'!$H$56))/2</f>
        <v>#DIV/0!</v>
      </c>
      <c r="AN33" s="188" t="e">
        <f>ABS(V33)*($AF33-$AG33)/2*(('Kalkylvärden 1'!$G$53*$AF33+'Kalkylvärden 1'!$H$53)+('Kalkylvärden 1'!$G$53*$AG33+'Kalkylvärden 1'!$H$53))/2</f>
        <v>#DIV/0!</v>
      </c>
      <c r="AO33" s="188" t="e">
        <f>ABS(W33)*($AF33-$AG33)/2*(('Kalkylvärden 1'!G56*$AF33+'Kalkylvärden 1'!H56)+('Kalkylvärden 1'!G56*$AG33+'Kalkylvärden 1'!H56))/2</f>
        <v>#DIV/0!</v>
      </c>
    </row>
    <row r="34" spans="7:41" x14ac:dyDescent="0.25">
      <c r="G34" s="231" t="s">
        <v>444</v>
      </c>
      <c r="H34" s="261"/>
      <c r="I34" s="231" t="s">
        <v>1</v>
      </c>
      <c r="J34" s="261"/>
      <c r="K34" s="261"/>
      <c r="L34" s="261"/>
      <c r="M34" s="261"/>
      <c r="N34" s="61" t="e">
        <f t="shared" si="0"/>
        <v>#DIV/0!</v>
      </c>
      <c r="O34" s="61" t="e">
        <f t="shared" si="1"/>
        <v>#DIV/0!</v>
      </c>
      <c r="P34" s="150">
        <f t="shared" si="2"/>
        <v>0</v>
      </c>
      <c r="Q34" s="150">
        <f t="shared" si="3"/>
        <v>0</v>
      </c>
      <c r="R34" s="150">
        <f t="shared" si="4"/>
        <v>0</v>
      </c>
      <c r="S34" s="150">
        <f t="shared" si="5"/>
        <v>0</v>
      </c>
      <c r="T34" s="51">
        <f>IF($M34&gt;0,P34*($N34/100*'Kalkylvärden 1'!$B$19+O34/100*'Kalkylvärden 1'!$C$19),-P34)</f>
        <v>0</v>
      </c>
      <c r="U34" s="51">
        <f>IF($M34&gt;0,Q34*($N34/100*'Kalkylvärden 1'!B22+$O34/100*'Kalkylvärden 1'!C22),-Q34)</f>
        <v>0</v>
      </c>
      <c r="V34" s="51">
        <f>IF($M34&gt;0,R34*($N34/100*'Kalkylvärden 1'!B24+$O34/100*Projektspecifikt!#REF!),-R34)</f>
        <v>0</v>
      </c>
      <c r="W34" s="51">
        <f>IF(M34&gt;0,S34*($N34/100*'Kalkylvärden 1'!B23+$O34/100*Projektspecifikt!#REF!),-S34)</f>
        <v>0</v>
      </c>
      <c r="X34" s="51">
        <f>(P34+T34)*$K34*'Kalkylvärden 1'!$C$31/60</f>
        <v>0</v>
      </c>
      <c r="Y34" s="51">
        <f>(Q34+U34)*$K34*'Kalkylvärden 1'!$O$31/60</f>
        <v>0</v>
      </c>
      <c r="Z34" s="51">
        <f>(R34+V34)*$K34*'Kalkylvärden 1'!$B$31/60</f>
        <v>0</v>
      </c>
      <c r="AA34" s="51">
        <f>(S34+W34)*$K34*'Kalkylvärden 1'!$P$31/60</f>
        <v>0</v>
      </c>
      <c r="AB34" s="188">
        <f>ABS(T34)*$K34*'Kalkylvärden 1'!$C$31/(60*2)</f>
        <v>0</v>
      </c>
      <c r="AC34" s="188">
        <f>ABS(U34)*$K34*'Kalkylvärden 1'!$C$31/(60*2)</f>
        <v>0</v>
      </c>
      <c r="AD34" s="188">
        <f>ABS(V34)*$K34*'Kalkylvärden 1'!$C$31/(60*2)</f>
        <v>0</v>
      </c>
      <c r="AE34" s="188">
        <f>ABS(W34)*$K34*'Kalkylvärden 1'!$C$31/(60*2)</f>
        <v>0</v>
      </c>
      <c r="AF34" t="e">
        <f t="shared" si="6"/>
        <v>#DIV/0!</v>
      </c>
      <c r="AG34" t="e">
        <f t="shared" si="6"/>
        <v>#DIV/0!</v>
      </c>
      <c r="AH34" s="188" t="e">
        <f>(P34+T34)*($AF34-$AG34)*(('Kalkylvärden 1'!$G$54*AG34+'Kalkylvärden 1'!$H$54)+('Kalkylvärden 1'!$G$54*'Person UA1'!AF34+'Kalkylvärden 1'!$H$54))/2</f>
        <v>#DIV/0!</v>
      </c>
      <c r="AI34" s="188" t="e">
        <f>(Q34+U34)*($AF34-$AG34)*(('Kalkylvärden 1'!$G$56*'Person UA1'!AG34+'Kalkylvärden 1'!$H$56)+('Kalkylvärden 1'!$G$56*$AF34+'Kalkylvärden 1'!$H$56))/2</f>
        <v>#DIV/0!</v>
      </c>
      <c r="AJ34" s="188" t="e">
        <f>(R34+V34)*($AF34-$AG34)*(('Kalkylvärden 1'!$G$53*$AG34+'Kalkylvärden 1'!H55)+('Kalkylvärden 1'!$G$53*$AF34+'Kalkylvärden 1'!$H$53))/2</f>
        <v>#DIV/0!</v>
      </c>
      <c r="AK34" s="188" t="e">
        <f>(S34+W34)*($AF34-$AG34)*(('Kalkylvärden 1'!$G$55*$AG34+'Kalkylvärden 1'!$H$55)+('Kalkylvärden 1'!$G$55*$AF34+'Kalkylvärden 1'!$H$55))/2</f>
        <v>#DIV/0!</v>
      </c>
      <c r="AL34" s="188" t="e">
        <f>ABS(T34)*($AF34-$AG34)/2*(('Kalkylvärden 1'!G56*$AF34+'Kalkylvärden 1'!H56)+('Kalkylvärden 1'!G56*$AG34+'Kalkylvärden 1'!H56))/2</f>
        <v>#DIV/0!</v>
      </c>
      <c r="AM34" s="188" t="e">
        <f>ABS(U34)*($AF34-$AG34)/2*(('Kalkylvärden 1'!$G$56*$AF34+'Kalkylvärden 1'!$H$56)+('Kalkylvärden 1'!$G$56*$AG34+'Kalkylvärden 1'!$H$56))/2</f>
        <v>#DIV/0!</v>
      </c>
      <c r="AN34" s="188" t="e">
        <f>ABS(V34)*($AF34-$AG34)/2*(('Kalkylvärden 1'!$G$53*$AF34+'Kalkylvärden 1'!$H$53)+('Kalkylvärden 1'!$G$53*$AG34+'Kalkylvärden 1'!$H$53))/2</f>
        <v>#DIV/0!</v>
      </c>
      <c r="AO34" s="188" t="e">
        <f>ABS(W34)*($AF34-$AG34)/2*((#REF!*$AF34+#REF!)+(#REF!*$AG34+#REF!))/2</f>
        <v>#DIV/0!</v>
      </c>
    </row>
    <row r="35" spans="7:41" x14ac:dyDescent="0.25">
      <c r="G35" s="231" t="s">
        <v>446</v>
      </c>
      <c r="H35" s="261"/>
      <c r="I35" s="231" t="s">
        <v>1</v>
      </c>
      <c r="J35" s="261"/>
      <c r="K35" s="261"/>
      <c r="L35" s="261"/>
      <c r="M35" s="261"/>
      <c r="N35" s="61" t="e">
        <f t="shared" si="0"/>
        <v>#DIV/0!</v>
      </c>
      <c r="O35" s="61" t="e">
        <f t="shared" si="1"/>
        <v>#DIV/0!</v>
      </c>
      <c r="P35" s="150">
        <f t="shared" si="2"/>
        <v>0</v>
      </c>
      <c r="Q35" s="150">
        <f t="shared" si="3"/>
        <v>0</v>
      </c>
      <c r="R35" s="150">
        <f t="shared" si="4"/>
        <v>0</v>
      </c>
      <c r="S35" s="150">
        <f t="shared" si="5"/>
        <v>0</v>
      </c>
      <c r="T35" s="51">
        <f>IF($M35&gt;0,P35*($N35/100*'Kalkylvärden 1'!$B$19+O35/100*'Kalkylvärden 1'!$C$19),-P35)</f>
        <v>0</v>
      </c>
      <c r="U35" s="51">
        <f>IF($M35&gt;0,Q35*($N35/100*'Kalkylvärden 1'!B24+$O35/100*Projektspecifikt!#REF!),-Q35)</f>
        <v>0</v>
      </c>
      <c r="V35" s="51">
        <f>IF($M35&gt;0,R35*($N35/100*'Kalkylvärden 1'!B23+$O35/100*Projektspecifikt!#REF!),-R35)</f>
        <v>0</v>
      </c>
      <c r="W35" s="51">
        <f>IF(M35&gt;0,S35*($N35/100*Projektspecifikt!B10+$O35/100*Projektspecifikt!C10),-S35)</f>
        <v>0</v>
      </c>
      <c r="X35" s="51">
        <f>(P35+T35)*$K35*'Kalkylvärden 1'!$C$31/60</f>
        <v>0</v>
      </c>
      <c r="Y35" s="51">
        <f>(Q35+U35)*$K35*'Kalkylvärden 1'!$O$31/60</f>
        <v>0</v>
      </c>
      <c r="Z35" s="51">
        <f>(R35+V35)*$K35*'Kalkylvärden 1'!$B$31/60</f>
        <v>0</v>
      </c>
      <c r="AA35" s="51">
        <f>(S35+W35)*$K35*'Kalkylvärden 1'!$P$31/60</f>
        <v>0</v>
      </c>
      <c r="AB35" s="188">
        <f>ABS(T35)*$K35*'Kalkylvärden 1'!$C$31/(60*2)</f>
        <v>0</v>
      </c>
      <c r="AC35" s="188">
        <f>ABS(U35)*$K35*'Kalkylvärden 1'!$C$31/(60*2)</f>
        <v>0</v>
      </c>
      <c r="AD35" s="188">
        <f>ABS(V35)*$K35*'Kalkylvärden 1'!$C$31/(60*2)</f>
        <v>0</v>
      </c>
      <c r="AE35" s="188">
        <f>ABS(W35)*$K35*'Kalkylvärden 1'!$C$31/(60*2)</f>
        <v>0</v>
      </c>
      <c r="AF35" t="e">
        <f t="shared" si="6"/>
        <v>#DIV/0!</v>
      </c>
      <c r="AG35" t="e">
        <f t="shared" si="6"/>
        <v>#DIV/0!</v>
      </c>
      <c r="AH35" s="188" t="e">
        <f>(P35+T35)*($AF35-$AG35)*(('Kalkylvärden 1'!$G$54*AG35+'Kalkylvärden 1'!$H$54)+('Kalkylvärden 1'!$G$54*'Person UA1'!AF35+'Kalkylvärden 1'!$H$54))/2</f>
        <v>#DIV/0!</v>
      </c>
      <c r="AI35" s="188" t="e">
        <f>(Q35+U35)*($AF35-$AG35)*(('Kalkylvärden 1'!$G$56*'Person UA1'!AG35+'Kalkylvärden 1'!$H$56)+('Kalkylvärden 1'!$G$56*$AF35+'Kalkylvärden 1'!$H$56))/2</f>
        <v>#DIV/0!</v>
      </c>
      <c r="AJ35" s="188" t="e">
        <f>(R35+V35)*($AF35-$AG35)*(('Kalkylvärden 1'!$G$53*$AG35+'Kalkylvärden 1'!H56)+('Kalkylvärden 1'!$G$53*$AF35+'Kalkylvärden 1'!$H$53))/2</f>
        <v>#DIV/0!</v>
      </c>
      <c r="AK35" s="188" t="e">
        <f>(S35+W35)*($AF35-$AG35)*(('Kalkylvärden 1'!$G$55*$AG35+'Kalkylvärden 1'!$H$55)+('Kalkylvärden 1'!$G$55*$AF35+'Kalkylvärden 1'!$H$55))/2</f>
        <v>#DIV/0!</v>
      </c>
      <c r="AL35" s="188" t="e">
        <f>ABS(T35)*($AF35-$AG35)/2*((#REF!*$AF35+#REF!)+(#REF!*$AG35+#REF!))/2</f>
        <v>#DIV/0!</v>
      </c>
      <c r="AM35" s="188" t="e">
        <f>ABS(U35)*($AF35-$AG35)/2*(('Kalkylvärden 1'!$G$56*$AF35+'Kalkylvärden 1'!$H$56)+('Kalkylvärden 1'!$G$56*$AG35+'Kalkylvärden 1'!$H$56))/2</f>
        <v>#DIV/0!</v>
      </c>
      <c r="AN35" s="188" t="e">
        <f>ABS(V35)*($AF35-$AG35)/2*(('Kalkylvärden 1'!$G$53*$AF35+'Kalkylvärden 1'!$H$53)+('Kalkylvärden 1'!$G$53*$AG35+'Kalkylvärden 1'!$H$53))/2</f>
        <v>#DIV/0!</v>
      </c>
      <c r="AO35" s="188" t="e">
        <f>ABS(W35)*($AF35-$AG35)/2*((#REF!*$AF35+#REF!)+(#REF!*$AG35+#REF!))/2</f>
        <v>#DIV/0!</v>
      </c>
    </row>
    <row r="36" spans="7:41" x14ac:dyDescent="0.25">
      <c r="G36" s="231" t="s">
        <v>447</v>
      </c>
      <c r="H36" s="261"/>
      <c r="I36" s="231" t="s">
        <v>1</v>
      </c>
      <c r="J36" s="261"/>
      <c r="K36" s="261"/>
      <c r="L36" s="261"/>
      <c r="M36" s="261"/>
      <c r="N36" s="61" t="e">
        <f t="shared" si="0"/>
        <v>#DIV/0!</v>
      </c>
      <c r="O36" s="61" t="e">
        <f t="shared" si="1"/>
        <v>#DIV/0!</v>
      </c>
      <c r="P36" s="150">
        <f t="shared" si="2"/>
        <v>0</v>
      </c>
      <c r="Q36" s="150">
        <f t="shared" si="3"/>
        <v>0</v>
      </c>
      <c r="R36" s="150">
        <f t="shared" si="4"/>
        <v>0</v>
      </c>
      <c r="S36" s="150">
        <f t="shared" si="5"/>
        <v>0</v>
      </c>
      <c r="T36" s="51">
        <f>IF($M36&gt;0,P36*($N36/100*'Kalkylvärden 1'!$B$19+O36/100*'Kalkylvärden 1'!$C$19),-P36)</f>
        <v>0</v>
      </c>
      <c r="U36" s="51">
        <f>IF($M36&gt;0,Q36*($N36/100*'Kalkylvärden 1'!B23+$O36/100*Projektspecifikt!#REF!),-Q36)</f>
        <v>0</v>
      </c>
      <c r="V36" s="51">
        <f>IF($M36&gt;0,R36*($N36/100*Projektspecifikt!B10+$O36/100*Projektspecifikt!C10),-R36)</f>
        <v>0</v>
      </c>
      <c r="W36" s="51">
        <f>IF(M36&gt;0,S36*($N36/100*Projektspecifikt!B11+$O36/100*Projektspecifikt!C11),-S36)</f>
        <v>0</v>
      </c>
      <c r="X36" s="51">
        <f>(P36+T36)*$K36*'Kalkylvärden 1'!$C$31/60</f>
        <v>0</v>
      </c>
      <c r="Y36" s="51">
        <f>(Q36+U36)*$K36*'Kalkylvärden 1'!$O$31/60</f>
        <v>0</v>
      </c>
      <c r="Z36" s="51">
        <f>(R36+V36)*$K36*'Kalkylvärden 1'!$B$31/60</f>
        <v>0</v>
      </c>
      <c r="AA36" s="51">
        <f>(S36+W36)*$K36*'Kalkylvärden 1'!$P$31/60</f>
        <v>0</v>
      </c>
      <c r="AB36" s="188">
        <f>ABS(T36)*$K36*'Kalkylvärden 1'!$C$31/(60*2)</f>
        <v>0</v>
      </c>
      <c r="AC36" s="188">
        <f>ABS(U36)*$K36*'Kalkylvärden 1'!$C$31/(60*2)</f>
        <v>0</v>
      </c>
      <c r="AD36" s="188">
        <f>ABS(V36)*$K36*'Kalkylvärden 1'!$C$31/(60*2)</f>
        <v>0</v>
      </c>
      <c r="AE36" s="188">
        <f>ABS(W36)*$K36*'Kalkylvärden 1'!$C$31/(60*2)</f>
        <v>0</v>
      </c>
      <c r="AF36" t="e">
        <f t="shared" si="6"/>
        <v>#DIV/0!</v>
      </c>
      <c r="AG36" t="e">
        <f t="shared" si="6"/>
        <v>#DIV/0!</v>
      </c>
      <c r="AH36" s="188" t="e">
        <f>(P36+T36)*($AF36-$AG36)*(('Kalkylvärden 1'!$G$54*AG36+'Kalkylvärden 1'!$H$54)+('Kalkylvärden 1'!$G$54*'Person UA1'!AF36+'Kalkylvärden 1'!$H$54))/2</f>
        <v>#DIV/0!</v>
      </c>
      <c r="AI36" s="188" t="e">
        <f>(Q36+U36)*($AF36-$AG36)*(('Kalkylvärden 1'!$G$56*'Person UA1'!AG36+'Kalkylvärden 1'!$H$56)+('Kalkylvärden 1'!$G$56*$AF36+'Kalkylvärden 1'!$H$56))/2</f>
        <v>#DIV/0!</v>
      </c>
      <c r="AJ36" s="188" t="e">
        <f>(R36+V36)*($AF36-$AG36)*(('Kalkylvärden 1'!$G$53*$AG36+#REF!)+('Kalkylvärden 1'!$G$53*$AF36+'Kalkylvärden 1'!$H$53))/2</f>
        <v>#DIV/0!</v>
      </c>
      <c r="AK36" s="188" t="e">
        <f>(S36+W36)*($AF36-$AG36)*(('Kalkylvärden 1'!$G$55*$AG36+'Kalkylvärden 1'!$H$55)+('Kalkylvärden 1'!$G$55*$AF36+'Kalkylvärden 1'!$H$55))/2</f>
        <v>#DIV/0!</v>
      </c>
      <c r="AL36" s="188" t="e">
        <f>ABS(T36)*($AF36-$AG36)/2*((#REF!*$AF36+#REF!)+(#REF!*$AG36+#REF!))/2</f>
        <v>#DIV/0!</v>
      </c>
      <c r="AM36" s="188" t="e">
        <f>ABS(U36)*($AF36-$AG36)/2*(('Kalkylvärden 1'!$G$56*$AF36+'Kalkylvärden 1'!$H$56)+('Kalkylvärden 1'!$G$56*$AG36+'Kalkylvärden 1'!$H$56))/2</f>
        <v>#DIV/0!</v>
      </c>
      <c r="AN36" s="188" t="e">
        <f>ABS(V36)*($AF36-$AG36)/2*(('Kalkylvärden 1'!$G$53*$AF36+'Kalkylvärden 1'!$H$53)+('Kalkylvärden 1'!$G$53*$AG36+'Kalkylvärden 1'!$H$53))/2</f>
        <v>#DIV/0!</v>
      </c>
      <c r="AO36" s="188" t="e">
        <f>ABS(W36)*($AF36-$AG36)/2*((#REF!*$AF36+#REF!)+(#REF!*$AG36+#REF!))/2</f>
        <v>#DIV/0!</v>
      </c>
    </row>
    <row r="37" spans="7:41" x14ac:dyDescent="0.25">
      <c r="G37" s="231" t="s">
        <v>449</v>
      </c>
      <c r="H37" s="261"/>
      <c r="I37" s="231" t="s">
        <v>1</v>
      </c>
      <c r="J37" s="261"/>
      <c r="K37" s="261"/>
      <c r="L37" s="261"/>
      <c r="M37" s="261"/>
      <c r="N37" s="61" t="e">
        <f t="shared" si="0"/>
        <v>#DIV/0!</v>
      </c>
      <c r="O37" s="61" t="e">
        <f t="shared" si="1"/>
        <v>#DIV/0!</v>
      </c>
      <c r="P37" s="150">
        <f t="shared" si="2"/>
        <v>0</v>
      </c>
      <c r="Q37" s="150">
        <f t="shared" si="3"/>
        <v>0</v>
      </c>
      <c r="R37" s="150">
        <f t="shared" si="4"/>
        <v>0</v>
      </c>
      <c r="S37" s="150">
        <f t="shared" si="5"/>
        <v>0</v>
      </c>
      <c r="T37" s="51">
        <f>IF($M37&gt;0,P37*($N37/100*'Kalkylvärden 1'!$B$19+O37/100*'Kalkylvärden 1'!$C$19),-P37)</f>
        <v>0</v>
      </c>
      <c r="U37" s="51">
        <f>IF($M37&gt;0,Q37*($N37/100*Projektspecifikt!B10+$O37/100*Projektspecifikt!C10),-Q37)</f>
        <v>0</v>
      </c>
      <c r="V37" s="51">
        <f>IF($M37&gt;0,R37*($N37/100*Projektspecifikt!B11+$O37/100*Projektspecifikt!C11),-R37)</f>
        <v>0</v>
      </c>
      <c r="W37" s="51">
        <f>IF(M37&gt;0,S37*($N37/100*Projektspecifikt!B12+$O37/100*Projektspecifikt!C12),-S37)</f>
        <v>0</v>
      </c>
      <c r="X37" s="51">
        <f>(P37+T37)*$K37*'Kalkylvärden 1'!$C$31/60</f>
        <v>0</v>
      </c>
      <c r="Y37" s="51">
        <f>(Q37+U37)*$K37*'Kalkylvärden 1'!$O$31/60</f>
        <v>0</v>
      </c>
      <c r="Z37" s="51">
        <f>(R37+V37)*$K37*'Kalkylvärden 1'!$B$31/60</f>
        <v>0</v>
      </c>
      <c r="AA37" s="51">
        <f>(S37+W37)*$K37*'Kalkylvärden 1'!$P$31/60</f>
        <v>0</v>
      </c>
      <c r="AB37" s="188">
        <f>ABS(T37)*$K37*'Kalkylvärden 1'!$C$31/(60*2)</f>
        <v>0</v>
      </c>
      <c r="AC37" s="188">
        <f>ABS(U37)*$K37*'Kalkylvärden 1'!$C$31/(60*2)</f>
        <v>0</v>
      </c>
      <c r="AD37" s="188">
        <f>ABS(V37)*$K37*'Kalkylvärden 1'!$C$31/(60*2)</f>
        <v>0</v>
      </c>
      <c r="AE37" s="188">
        <f>ABS(W37)*$K37*'Kalkylvärden 1'!$C$31/(60*2)</f>
        <v>0</v>
      </c>
      <c r="AF37" t="e">
        <f t="shared" si="6"/>
        <v>#DIV/0!</v>
      </c>
      <c r="AG37" t="e">
        <f t="shared" si="6"/>
        <v>#DIV/0!</v>
      </c>
      <c r="AH37" s="188" t="e">
        <f>(P37+T37)*($AF37-$AG37)*(('Kalkylvärden 1'!$G$54*AG37+'Kalkylvärden 1'!$H$54)+('Kalkylvärden 1'!$G$54*'Person UA1'!AF37+'Kalkylvärden 1'!$H$54))/2</f>
        <v>#DIV/0!</v>
      </c>
      <c r="AI37" s="188" t="e">
        <f>(Q37+U37)*($AF37-$AG37)*(('Kalkylvärden 1'!$G$56*'Person UA1'!AG37+'Kalkylvärden 1'!$H$56)+('Kalkylvärden 1'!$G$56*$AF37+'Kalkylvärden 1'!$H$56))/2</f>
        <v>#DIV/0!</v>
      </c>
      <c r="AJ37" s="188" t="e">
        <f>(R37+V37)*($AF37-$AG37)*(('Kalkylvärden 1'!$G$53*$AG37+#REF!)+('Kalkylvärden 1'!$G$53*$AF37+'Kalkylvärden 1'!$H$53))/2</f>
        <v>#DIV/0!</v>
      </c>
      <c r="AK37" s="188" t="e">
        <f>(S37+W37)*($AF37-$AG37)*(('Kalkylvärden 1'!$G$55*$AG37+'Kalkylvärden 1'!$H$55)+('Kalkylvärden 1'!$G$55*$AF37+'Kalkylvärden 1'!$H$55))/2</f>
        <v>#DIV/0!</v>
      </c>
      <c r="AL37" s="188" t="e">
        <f>ABS(T37)*($AF37-$AG37)/2*((#REF!*$AF37+#REF!)+(#REF!*$AG37+#REF!))/2</f>
        <v>#DIV/0!</v>
      </c>
      <c r="AM37" s="188" t="e">
        <f>ABS(U37)*($AF37-$AG37)/2*(('Kalkylvärden 1'!$G$56*$AF37+'Kalkylvärden 1'!$H$56)+('Kalkylvärden 1'!$G$56*$AG37+'Kalkylvärden 1'!$H$56))/2</f>
        <v>#DIV/0!</v>
      </c>
      <c r="AN37" s="188" t="e">
        <f>ABS(V37)*($AF37-$AG37)/2*(('Kalkylvärden 1'!$G$53*$AF37+'Kalkylvärden 1'!$H$53)+('Kalkylvärden 1'!$G$53*$AG37+'Kalkylvärden 1'!$H$53))/2</f>
        <v>#DIV/0!</v>
      </c>
      <c r="AO37" s="188" t="e">
        <f>ABS(W37)*($AF37-$AG37)/2*((#REF!*$AF37+#REF!)+(#REF!*$AG37+#REF!))/2</f>
        <v>#DIV/0!</v>
      </c>
    </row>
    <row r="38" spans="7:41" x14ac:dyDescent="0.25">
      <c r="G38" s="231" t="s">
        <v>450</v>
      </c>
      <c r="H38" s="261"/>
      <c r="I38" s="231" t="s">
        <v>1</v>
      </c>
      <c r="J38" s="261"/>
      <c r="K38" s="261"/>
      <c r="L38" s="261"/>
      <c r="M38" s="261"/>
      <c r="N38" s="61" t="e">
        <f t="shared" si="0"/>
        <v>#DIV/0!</v>
      </c>
      <c r="O38" s="61" t="e">
        <f t="shared" si="1"/>
        <v>#DIV/0!</v>
      </c>
      <c r="P38" s="150">
        <f t="shared" si="2"/>
        <v>0</v>
      </c>
      <c r="Q38" s="150">
        <f t="shared" si="3"/>
        <v>0</v>
      </c>
      <c r="R38" s="150">
        <f t="shared" si="4"/>
        <v>0</v>
      </c>
      <c r="S38" s="150">
        <f t="shared" si="5"/>
        <v>0</v>
      </c>
      <c r="T38" s="51">
        <f>IF($M38&gt;0,P38*($N38/100*'Kalkylvärden 1'!$B$19+O38/100*'Kalkylvärden 1'!$C$19),-P38)</f>
        <v>0</v>
      </c>
      <c r="U38" s="51">
        <f>IF($M38&gt;0,Q38*($N38/100*Projektspecifikt!B11+$O38/100*Projektspecifikt!C11),-Q38)</f>
        <v>0</v>
      </c>
      <c r="V38" s="51">
        <f>IF($M38&gt;0,R38*($N38/100*Projektspecifikt!B12+$O38/100*Projektspecifikt!C12),-R38)</f>
        <v>0</v>
      </c>
      <c r="W38" s="51">
        <f>IF(M38&gt;0,S38*($N38/100*Projektspecifikt!B13+$O38/100*Projektspecifikt!C13),-S38)</f>
        <v>0</v>
      </c>
      <c r="X38" s="51">
        <f>(P38+T38)*$K38*'Kalkylvärden 1'!$C$31/60</f>
        <v>0</v>
      </c>
      <c r="Y38" s="51">
        <f>(Q38+U38)*$K38*'Kalkylvärden 1'!$O$31/60</f>
        <v>0</v>
      </c>
      <c r="Z38" s="51">
        <f>(R38+V38)*$K38*'Kalkylvärden 1'!$B$31/60</f>
        <v>0</v>
      </c>
      <c r="AA38" s="51">
        <f>(S38+W38)*$K38*'Kalkylvärden 1'!$P$31/60</f>
        <v>0</v>
      </c>
      <c r="AB38" s="188">
        <f>ABS(T38)*$K38*'Kalkylvärden 1'!$C$31/(60*2)</f>
        <v>0</v>
      </c>
      <c r="AC38" s="188">
        <f>ABS(U38)*$K38*'Kalkylvärden 1'!$C$31/(60*2)</f>
        <v>0</v>
      </c>
      <c r="AD38" s="188">
        <f>ABS(V38)*$K38*'Kalkylvärden 1'!$C$31/(60*2)</f>
        <v>0</v>
      </c>
      <c r="AE38" s="188">
        <f>ABS(W38)*$K38*'Kalkylvärden 1'!$C$31/(60*2)</f>
        <v>0</v>
      </c>
      <c r="AF38" t="e">
        <f t="shared" si="6"/>
        <v>#DIV/0!</v>
      </c>
      <c r="AG38" t="e">
        <f t="shared" si="6"/>
        <v>#DIV/0!</v>
      </c>
      <c r="AH38" s="188" t="e">
        <f>(P38+T38)*($AF38-$AG38)*(('Kalkylvärden 1'!$G$54*AG38+'Kalkylvärden 1'!$H$54)+('Kalkylvärden 1'!$G$54*'Person UA1'!AF38+'Kalkylvärden 1'!$H$54))/2</f>
        <v>#DIV/0!</v>
      </c>
      <c r="AI38" s="188" t="e">
        <f>(Q38+U38)*($AF38-$AG38)*(('Kalkylvärden 1'!$G$56*'Person UA1'!AG38+'Kalkylvärden 1'!$H$56)+('Kalkylvärden 1'!$G$56*$AF38+'Kalkylvärden 1'!$H$56))/2</f>
        <v>#DIV/0!</v>
      </c>
      <c r="AJ38" s="188" t="e">
        <f>(R38+V38)*($AF38-$AG38)*(('Kalkylvärden 1'!$G$53*$AG38+#REF!)+('Kalkylvärden 1'!$G$53*$AF38+'Kalkylvärden 1'!$H$53))/2</f>
        <v>#DIV/0!</v>
      </c>
      <c r="AK38" s="188" t="e">
        <f>(S38+W38)*($AF38-$AG38)*(('Kalkylvärden 1'!$G$55*$AG38+'Kalkylvärden 1'!$H$55)+('Kalkylvärden 1'!$G$55*$AF38+'Kalkylvärden 1'!$H$55))/2</f>
        <v>#DIV/0!</v>
      </c>
      <c r="AL38" s="188" t="e">
        <f>ABS(T38)*($AF38-$AG38)/2*((#REF!*$AF38+#REF!)+(#REF!*$AG38+#REF!))/2</f>
        <v>#DIV/0!</v>
      </c>
      <c r="AM38" s="188" t="e">
        <f>ABS(U38)*($AF38-$AG38)/2*(('Kalkylvärden 1'!$G$56*$AF38+'Kalkylvärden 1'!$H$56)+('Kalkylvärden 1'!$G$56*$AG38+'Kalkylvärden 1'!$H$56))/2</f>
        <v>#DIV/0!</v>
      </c>
      <c r="AN38" s="188" t="e">
        <f>ABS(V38)*($AF38-$AG38)/2*(('Kalkylvärden 1'!$G$53*$AF38+'Kalkylvärden 1'!$H$53)+('Kalkylvärden 1'!$G$53*$AG38+'Kalkylvärden 1'!$H$53))/2</f>
        <v>#DIV/0!</v>
      </c>
      <c r="AO38" s="188" t="e">
        <f>ABS(W38)*($AF38-$AG38)/2*((#REF!*$AF38+#REF!)+(#REF!*$AG38+#REF!))/2</f>
        <v>#DIV/0!</v>
      </c>
    </row>
    <row r="39" spans="7:41" x14ac:dyDescent="0.25">
      <c r="G39" s="231" t="s">
        <v>451</v>
      </c>
      <c r="H39" s="261"/>
      <c r="I39" s="231" t="s">
        <v>1</v>
      </c>
      <c r="J39" s="261"/>
      <c r="K39" s="261"/>
      <c r="L39" s="261"/>
      <c r="M39" s="261"/>
      <c r="N39" s="61" t="e">
        <f t="shared" si="0"/>
        <v>#DIV/0!</v>
      </c>
      <c r="O39" s="61" t="e">
        <f t="shared" si="1"/>
        <v>#DIV/0!</v>
      </c>
      <c r="P39" s="150">
        <f t="shared" si="2"/>
        <v>0</v>
      </c>
      <c r="Q39" s="150">
        <f t="shared" si="3"/>
        <v>0</v>
      </c>
      <c r="R39" s="150">
        <f t="shared" si="4"/>
        <v>0</v>
      </c>
      <c r="S39" s="150">
        <f t="shared" si="5"/>
        <v>0</v>
      </c>
      <c r="T39" s="51">
        <f>IF($M39&gt;0,P39*($N39/100*'Kalkylvärden 1'!$B$19+O39/100*'Kalkylvärden 1'!$C$19),-P39)</f>
        <v>0</v>
      </c>
      <c r="U39" s="51">
        <f>IF($M39&gt;0,Q39*($N39/100*Projektspecifikt!B12+$O39/100*Projektspecifikt!C12),-Q39)</f>
        <v>0</v>
      </c>
      <c r="V39" s="51">
        <f>IF($M39&gt;0,R39*($N39/100*Projektspecifikt!B13+$O39/100*Projektspecifikt!C13),-R39)</f>
        <v>0</v>
      </c>
      <c r="W39" s="51">
        <f>IF(M39&gt;0,S39*($N39/100*Projektspecifikt!B14+$O39/100*Projektspecifikt!C14),-S39)</f>
        <v>0</v>
      </c>
      <c r="X39" s="51">
        <f>(P39+T39)*$K39*'Kalkylvärden 1'!$C$31/60</f>
        <v>0</v>
      </c>
      <c r="Y39" s="51">
        <f>(Q39+U39)*$K39*'Kalkylvärden 1'!$O$31/60</f>
        <v>0</v>
      </c>
      <c r="Z39" s="51">
        <f>(R39+V39)*$K39*'Kalkylvärden 1'!$B$31/60</f>
        <v>0</v>
      </c>
      <c r="AA39" s="51">
        <f>(S39+W39)*$K39*'Kalkylvärden 1'!$P$31/60</f>
        <v>0</v>
      </c>
      <c r="AB39" s="188">
        <f>ABS(T39)*$K39*'Kalkylvärden 1'!$C$31/(60*2)</f>
        <v>0</v>
      </c>
      <c r="AC39" s="188">
        <f>ABS(U39)*$K39*'Kalkylvärden 1'!$C$31/(60*2)</f>
        <v>0</v>
      </c>
      <c r="AD39" s="188">
        <f>ABS(V39)*$K39*'Kalkylvärden 1'!$C$31/(60*2)</f>
        <v>0</v>
      </c>
      <c r="AE39" s="188">
        <f>ABS(W39)*$K39*'Kalkylvärden 1'!$C$31/(60*2)</f>
        <v>0</v>
      </c>
      <c r="AF39" t="e">
        <f t="shared" si="6"/>
        <v>#DIV/0!</v>
      </c>
      <c r="AG39" t="e">
        <f t="shared" si="6"/>
        <v>#DIV/0!</v>
      </c>
      <c r="AH39" s="188" t="e">
        <f>(P39+T39)*($AF39-$AG39)*(('Kalkylvärden 1'!$G$54*AG39+'Kalkylvärden 1'!$H$54)+('Kalkylvärden 1'!$G$54*'Person UA1'!AF39+'Kalkylvärden 1'!$H$54))/2</f>
        <v>#DIV/0!</v>
      </c>
      <c r="AI39" s="188" t="e">
        <f>(Q39+U39)*($AF39-$AG39)*(('Kalkylvärden 1'!$G$56*'Person UA1'!AG39+'Kalkylvärden 1'!$H$56)+('Kalkylvärden 1'!$G$56*$AF39+'Kalkylvärden 1'!$H$56))/2</f>
        <v>#DIV/0!</v>
      </c>
      <c r="AJ39" s="188" t="e">
        <f>(R39+V39)*($AF39-$AG39)*(('Kalkylvärden 1'!$G$53*$AG39+#REF!)+('Kalkylvärden 1'!$G$53*$AF39+'Kalkylvärden 1'!$H$53))/2</f>
        <v>#DIV/0!</v>
      </c>
      <c r="AK39" s="188" t="e">
        <f>(S39+W39)*($AF39-$AG39)*(('Kalkylvärden 1'!$G$55*$AG39+'Kalkylvärden 1'!$H$55)+('Kalkylvärden 1'!$G$55*$AF39+'Kalkylvärden 1'!$H$55))/2</f>
        <v>#DIV/0!</v>
      </c>
      <c r="AL39" s="188" t="e">
        <f>ABS(T39)*($AF39-$AG39)/2*((#REF!*$AF39+#REF!)+(#REF!*$AG39+#REF!))/2</f>
        <v>#DIV/0!</v>
      </c>
      <c r="AM39" s="188" t="e">
        <f>ABS(U39)*($AF39-$AG39)/2*(('Kalkylvärden 1'!$G$56*$AF39+'Kalkylvärden 1'!$H$56)+('Kalkylvärden 1'!$G$56*$AG39+'Kalkylvärden 1'!$H$56))/2</f>
        <v>#DIV/0!</v>
      </c>
      <c r="AN39" s="188" t="e">
        <f>ABS(V39)*($AF39-$AG39)/2*(('Kalkylvärden 1'!$G$53*$AF39+'Kalkylvärden 1'!$H$53)+('Kalkylvärden 1'!$G$53*$AG39+'Kalkylvärden 1'!$H$53))/2</f>
        <v>#DIV/0!</v>
      </c>
      <c r="AO39" s="188" t="e">
        <f>ABS(W39)*($AF39-$AG39)/2*((#REF!*$AF39+#REF!)+(#REF!*$AG39+#REF!))/2</f>
        <v>#DIV/0!</v>
      </c>
    </row>
    <row r="40" spans="7:41" x14ac:dyDescent="0.25">
      <c r="G40" s="231" t="s">
        <v>452</v>
      </c>
      <c r="H40" s="261"/>
      <c r="I40" s="231" t="s">
        <v>1</v>
      </c>
      <c r="J40" s="261"/>
      <c r="K40" s="261"/>
      <c r="L40" s="261"/>
      <c r="M40" s="261"/>
      <c r="N40" s="61" t="e">
        <f t="shared" si="0"/>
        <v>#DIV/0!</v>
      </c>
      <c r="O40" s="61" t="e">
        <f t="shared" si="1"/>
        <v>#DIV/0!</v>
      </c>
      <c r="P40" s="150">
        <f t="shared" si="2"/>
        <v>0</v>
      </c>
      <c r="Q40" s="150">
        <f t="shared" si="3"/>
        <v>0</v>
      </c>
      <c r="R40" s="150">
        <f t="shared" si="4"/>
        <v>0</v>
      </c>
      <c r="S40" s="150">
        <f t="shared" si="5"/>
        <v>0</v>
      </c>
      <c r="T40" s="51">
        <f>IF($M40&gt;0,P40*($N40/100*'Kalkylvärden 1'!$B$19+O40/100*'Kalkylvärden 1'!$C$19),-P40)</f>
        <v>0</v>
      </c>
      <c r="U40" s="51">
        <f>IF($M40&gt;0,Q40*($N40/100*Projektspecifikt!B13+$O40/100*Projektspecifikt!C13),-Q40)</f>
        <v>0</v>
      </c>
      <c r="V40" s="51">
        <f>IF($M40&gt;0,R40*($N40/100*Projektspecifikt!B14+$O40/100*Projektspecifikt!C14),-R40)</f>
        <v>0</v>
      </c>
      <c r="W40" s="51">
        <f>IF(M40&gt;0,S40*($N40/100*Projektspecifikt!B15+$O40/100*Projektspecifikt!C15),-S40)</f>
        <v>0</v>
      </c>
      <c r="X40" s="51">
        <f>(P40+T40)*$K40*'Kalkylvärden 1'!$C$31/60</f>
        <v>0</v>
      </c>
      <c r="Y40" s="51">
        <f>(Q40+U40)*$K40*'Kalkylvärden 1'!$O$31/60</f>
        <v>0</v>
      </c>
      <c r="Z40" s="51">
        <f>(R40+V40)*$K40*'Kalkylvärden 1'!$B$31/60</f>
        <v>0</v>
      </c>
      <c r="AA40" s="51">
        <f>(S40+W40)*$K40*'Kalkylvärden 1'!$P$31/60</f>
        <v>0</v>
      </c>
      <c r="AB40" s="188">
        <f>ABS(T40)*$K40*'Kalkylvärden 1'!$C$31/(60*2)</f>
        <v>0</v>
      </c>
      <c r="AC40" s="188">
        <f>ABS(U40)*$K40*'Kalkylvärden 1'!$C$31/(60*2)</f>
        <v>0</v>
      </c>
      <c r="AD40" s="188">
        <f>ABS(V40)*$K40*'Kalkylvärden 1'!$C$31/(60*2)</f>
        <v>0</v>
      </c>
      <c r="AE40" s="188">
        <f>ABS(W40)*$K40*'Kalkylvärden 1'!$C$31/(60*2)</f>
        <v>0</v>
      </c>
      <c r="AF40" t="e">
        <f t="shared" si="6"/>
        <v>#DIV/0!</v>
      </c>
      <c r="AG40" t="e">
        <f t="shared" si="6"/>
        <v>#DIV/0!</v>
      </c>
      <c r="AH40" s="188" t="e">
        <f>(P40+T40)*($AF40-$AG40)*(('Kalkylvärden 1'!$G$54*AG40+'Kalkylvärden 1'!$H$54)+('Kalkylvärden 1'!$G$54*'Person UA1'!AF40+'Kalkylvärden 1'!$H$54))/2</f>
        <v>#DIV/0!</v>
      </c>
      <c r="AI40" s="188" t="e">
        <f>(Q40+U40)*($AF40-$AG40)*(('Kalkylvärden 1'!$G$56*'Person UA1'!AG40+'Kalkylvärden 1'!$H$56)+('Kalkylvärden 1'!$G$56*$AF40+'Kalkylvärden 1'!$H$56))/2</f>
        <v>#DIV/0!</v>
      </c>
      <c r="AJ40" s="188" t="e">
        <f>(R40+V40)*($AF40-$AG40)*(('Kalkylvärden 1'!$G$53*$AG40+#REF!)+('Kalkylvärden 1'!$G$53*$AF40+'Kalkylvärden 1'!$H$53))/2</f>
        <v>#DIV/0!</v>
      </c>
      <c r="AK40" s="188" t="e">
        <f>(S40+W40)*($AF40-$AG40)*(('Kalkylvärden 1'!$G$55*$AG40+'Kalkylvärden 1'!$H$55)+('Kalkylvärden 1'!$G$55*$AF40+'Kalkylvärden 1'!$H$55))/2</f>
        <v>#DIV/0!</v>
      </c>
      <c r="AL40" s="188" t="e">
        <f>ABS(T40)*($AF40-$AG40)/2*((#REF!*$AF40+#REF!)+(#REF!*$AG40+#REF!))/2</f>
        <v>#DIV/0!</v>
      </c>
      <c r="AM40" s="188" t="e">
        <f>ABS(U40)*($AF40-$AG40)/2*(('Kalkylvärden 1'!$G$56*$AF40+'Kalkylvärden 1'!$H$56)+('Kalkylvärden 1'!$G$56*$AG40+'Kalkylvärden 1'!$H$56))/2</f>
        <v>#DIV/0!</v>
      </c>
      <c r="AN40" s="188" t="e">
        <f>ABS(V40)*($AF40-$AG40)/2*(('Kalkylvärden 1'!$G$53*$AF40+'Kalkylvärden 1'!$H$53)+('Kalkylvärden 1'!$G$53*$AG40+'Kalkylvärden 1'!$H$53))/2</f>
        <v>#DIV/0!</v>
      </c>
      <c r="AO40" s="188" t="e">
        <f>ABS(W40)*($AF40-$AG40)/2*((#REF!*$AF40+#REF!)+(#REF!*$AG40+#REF!))/2</f>
        <v>#DIV/0!</v>
      </c>
    </row>
    <row r="41" spans="7:41" x14ac:dyDescent="0.25">
      <c r="G41" s="231" t="s">
        <v>453</v>
      </c>
      <c r="H41" s="261"/>
      <c r="I41" s="231" t="s">
        <v>1</v>
      </c>
      <c r="J41" s="261"/>
      <c r="K41" s="261"/>
      <c r="L41" s="261"/>
      <c r="M41" s="261"/>
      <c r="N41" s="61" t="e">
        <f t="shared" si="0"/>
        <v>#DIV/0!</v>
      </c>
      <c r="O41" s="61" t="e">
        <f t="shared" si="1"/>
        <v>#DIV/0!</v>
      </c>
      <c r="P41" s="150">
        <f t="shared" si="2"/>
        <v>0</v>
      </c>
      <c r="Q41" s="150">
        <f t="shared" si="3"/>
        <v>0</v>
      </c>
      <c r="R41" s="150">
        <f t="shared" si="4"/>
        <v>0</v>
      </c>
      <c r="S41" s="150">
        <f t="shared" si="5"/>
        <v>0</v>
      </c>
      <c r="T41" s="51">
        <f>IF($M41&gt;0,P41*($N41/100*'Kalkylvärden 1'!$B$19+O41/100*'Kalkylvärden 1'!$C$19),-P41)</f>
        <v>0</v>
      </c>
      <c r="U41" s="51">
        <f>IF($M41&gt;0,Q41*($N41/100*Projektspecifikt!B14+$O41/100*Projektspecifikt!C14),-Q41)</f>
        <v>0</v>
      </c>
      <c r="V41" s="51">
        <f>IF($M41&gt;0,R41*($N41/100*Projektspecifikt!B15+$O41/100*Projektspecifikt!C15),-R41)</f>
        <v>0</v>
      </c>
      <c r="W41" s="51">
        <f>IF(M41&gt;0,S41*($N41/100*Projektspecifikt!B16+$O41/100*Projektspecifikt!C16),-S41)</f>
        <v>0</v>
      </c>
      <c r="X41" s="51">
        <f>(P41+T41)*$K41*'Kalkylvärden 1'!$C$31/60</f>
        <v>0</v>
      </c>
      <c r="Y41" s="51">
        <f>(Q41+U41)*$K41*'Kalkylvärden 1'!$O$31/60</f>
        <v>0</v>
      </c>
      <c r="Z41" s="51">
        <f>(R41+V41)*$K41*'Kalkylvärden 1'!$B$31/60</f>
        <v>0</v>
      </c>
      <c r="AA41" s="51">
        <f>(S41+W41)*$K41*'Kalkylvärden 1'!$P$31/60</f>
        <v>0</v>
      </c>
      <c r="AB41" s="188">
        <f>ABS(T41)*$K41*'Kalkylvärden 1'!$C$31/(60*2)</f>
        <v>0</v>
      </c>
      <c r="AC41" s="188">
        <f>ABS(U41)*$K41*'Kalkylvärden 1'!$C$31/(60*2)</f>
        <v>0</v>
      </c>
      <c r="AD41" s="188">
        <f>ABS(V41)*$K41*'Kalkylvärden 1'!$C$31/(60*2)</f>
        <v>0</v>
      </c>
      <c r="AE41" s="188">
        <f>ABS(W41)*$K41*'Kalkylvärden 1'!$C$31/(60*2)</f>
        <v>0</v>
      </c>
      <c r="AF41" t="e">
        <f t="shared" si="6"/>
        <v>#DIV/0!</v>
      </c>
      <c r="AG41" t="e">
        <f t="shared" si="6"/>
        <v>#DIV/0!</v>
      </c>
      <c r="AH41" s="188" t="e">
        <f>(P41+T41)*($AF41-$AG41)*(('Kalkylvärden 1'!$G$54*AG41+'Kalkylvärden 1'!$H$54)+('Kalkylvärden 1'!$G$54*'Person UA1'!AF41+'Kalkylvärden 1'!$H$54))/2</f>
        <v>#DIV/0!</v>
      </c>
      <c r="AI41" s="188" t="e">
        <f>(Q41+U41)*($AF41-$AG41)*(('Kalkylvärden 1'!$G$56*'Person UA1'!AG41+'Kalkylvärden 1'!$H$56)+('Kalkylvärden 1'!$G$56*$AF41+'Kalkylvärden 1'!$H$56))/2</f>
        <v>#DIV/0!</v>
      </c>
      <c r="AJ41" s="188" t="e">
        <f>(R41+V41)*($AF41-$AG41)*(('Kalkylvärden 1'!$G$53*$AG41+#REF!)+('Kalkylvärden 1'!$G$53*$AF41+'Kalkylvärden 1'!$H$53))/2</f>
        <v>#DIV/0!</v>
      </c>
      <c r="AK41" s="188" t="e">
        <f>(S41+W41)*($AF41-$AG41)*(('Kalkylvärden 1'!$G$55*$AG41+'Kalkylvärden 1'!$H$55)+('Kalkylvärden 1'!$G$55*$AF41+'Kalkylvärden 1'!$H$55))/2</f>
        <v>#DIV/0!</v>
      </c>
      <c r="AL41" s="188" t="e">
        <f>ABS(T41)*($AF41-$AG41)/2*((#REF!*$AF41+#REF!)+(#REF!*$AG41+#REF!))/2</f>
        <v>#DIV/0!</v>
      </c>
      <c r="AM41" s="188" t="e">
        <f>ABS(U41)*($AF41-$AG41)/2*(('Kalkylvärden 1'!$G$56*$AF41+'Kalkylvärden 1'!$H$56)+('Kalkylvärden 1'!$G$56*$AG41+'Kalkylvärden 1'!$H$56))/2</f>
        <v>#DIV/0!</v>
      </c>
      <c r="AN41" s="188" t="e">
        <f>ABS(V41)*($AF41-$AG41)/2*(('Kalkylvärden 1'!$G$53*$AF41+'Kalkylvärden 1'!$H$53)+('Kalkylvärden 1'!$G$53*$AG41+'Kalkylvärden 1'!$H$53))/2</f>
        <v>#DIV/0!</v>
      </c>
      <c r="AO41" s="188" t="e">
        <f>ABS(W41)*($AF41-$AG41)/2*((#REF!*$AF41+#REF!)+(#REF!*$AG41+#REF!))/2</f>
        <v>#DIV/0!</v>
      </c>
    </row>
    <row r="42" spans="7:41" x14ac:dyDescent="0.25">
      <c r="G42" s="231" t="s">
        <v>454</v>
      </c>
      <c r="H42" s="261"/>
      <c r="I42" s="231" t="s">
        <v>1</v>
      </c>
      <c r="J42" s="261"/>
      <c r="K42" s="261"/>
      <c r="L42" s="261"/>
      <c r="M42" s="261"/>
      <c r="N42" s="61" t="e">
        <f t="shared" si="0"/>
        <v>#DIV/0!</v>
      </c>
      <c r="O42" s="61" t="e">
        <f t="shared" si="1"/>
        <v>#DIV/0!</v>
      </c>
      <c r="P42" s="150">
        <f t="shared" si="2"/>
        <v>0</v>
      </c>
      <c r="Q42" s="150">
        <f t="shared" si="3"/>
        <v>0</v>
      </c>
      <c r="R42" s="150">
        <f t="shared" si="4"/>
        <v>0</v>
      </c>
      <c r="S42" s="150">
        <f t="shared" si="5"/>
        <v>0</v>
      </c>
      <c r="T42" s="51">
        <f>IF($M42&gt;0,P42*($N42/100*'Kalkylvärden 1'!$B$19+O42/100*'Kalkylvärden 1'!$C$19),-P42)</f>
        <v>0</v>
      </c>
      <c r="U42" s="51">
        <f>IF($M42&gt;0,Q42*($N42/100*Projektspecifikt!B15+$O42/100*Projektspecifikt!C15),-Q42)</f>
        <v>0</v>
      </c>
      <c r="V42" s="51">
        <f>IF($M42&gt;0,R42*($N42/100*Projektspecifikt!B16+$O42/100*Projektspecifikt!C16),-R42)</f>
        <v>0</v>
      </c>
      <c r="W42" s="51">
        <f>IF(M42&gt;0,S42*($N42/100*Projektspecifikt!B17+$O42/100*Projektspecifikt!C17),-S42)</f>
        <v>0</v>
      </c>
      <c r="X42" s="51">
        <f>(P42+T42)*$K42*'Kalkylvärden 1'!$C$31/60</f>
        <v>0</v>
      </c>
      <c r="Y42" s="51">
        <f>(Q42+U42)*$K42*'Kalkylvärden 1'!$O$31/60</f>
        <v>0</v>
      </c>
      <c r="Z42" s="51">
        <f>(R42+V42)*$K42*'Kalkylvärden 1'!$B$31/60</f>
        <v>0</v>
      </c>
      <c r="AA42" s="51">
        <f>(S42+W42)*$K42*'Kalkylvärden 1'!$P$31/60</f>
        <v>0</v>
      </c>
      <c r="AB42" s="188">
        <f>ABS(T42)*$K42*'Kalkylvärden 1'!$C$31/(60*2)</f>
        <v>0</v>
      </c>
      <c r="AC42" s="188">
        <f>ABS(U42)*$K42*'Kalkylvärden 1'!$C$31/(60*2)</f>
        <v>0</v>
      </c>
      <c r="AD42" s="188">
        <f>ABS(V42)*$K42*'Kalkylvärden 1'!$C$31/(60*2)</f>
        <v>0</v>
      </c>
      <c r="AE42" s="188">
        <f>ABS(W42)*$K42*'Kalkylvärden 1'!$C$31/(60*2)</f>
        <v>0</v>
      </c>
      <c r="AF42" t="e">
        <f t="shared" si="6"/>
        <v>#DIV/0!</v>
      </c>
      <c r="AG42" t="e">
        <f t="shared" si="6"/>
        <v>#DIV/0!</v>
      </c>
      <c r="AH42" s="188" t="e">
        <f>(P42+T42)*($AF42-$AG42)*(('Kalkylvärden 1'!$G$54*AG42+'Kalkylvärden 1'!$H$54)+('Kalkylvärden 1'!$G$54*'Person UA1'!AF42+'Kalkylvärden 1'!$H$54))/2</f>
        <v>#DIV/0!</v>
      </c>
      <c r="AI42" s="188" t="e">
        <f>(Q42+U42)*($AF42-$AG42)*(('Kalkylvärden 1'!$G$56*'Person UA1'!AG42+'Kalkylvärden 1'!$H$56)+('Kalkylvärden 1'!$G$56*$AF42+'Kalkylvärden 1'!$H$56))/2</f>
        <v>#DIV/0!</v>
      </c>
      <c r="AJ42" s="188" t="e">
        <f>(R42+V42)*($AF42-$AG42)*(('Kalkylvärden 1'!$G$53*$AG42+#REF!)+('Kalkylvärden 1'!$G$53*$AF42+'Kalkylvärden 1'!$H$53))/2</f>
        <v>#DIV/0!</v>
      </c>
      <c r="AK42" s="188" t="e">
        <f>(S42+W42)*($AF42-$AG42)*(('Kalkylvärden 1'!$G$55*$AG42+'Kalkylvärden 1'!$H$55)+('Kalkylvärden 1'!$G$55*$AF42+'Kalkylvärden 1'!$H$55))/2</f>
        <v>#DIV/0!</v>
      </c>
      <c r="AL42" s="188" t="e">
        <f>ABS(T42)*($AF42-$AG42)/2*((#REF!*$AF42+#REF!)+(#REF!*$AG42+#REF!))/2</f>
        <v>#DIV/0!</v>
      </c>
      <c r="AM42" s="188" t="e">
        <f>ABS(U42)*($AF42-$AG42)/2*(('Kalkylvärden 1'!$G$56*$AF42+'Kalkylvärden 1'!$H$56)+('Kalkylvärden 1'!$G$56*$AG42+'Kalkylvärden 1'!$H$56))/2</f>
        <v>#DIV/0!</v>
      </c>
      <c r="AN42" s="188" t="e">
        <f>ABS(V42)*($AF42-$AG42)/2*(('Kalkylvärden 1'!$G$53*$AF42+'Kalkylvärden 1'!$H$53)+('Kalkylvärden 1'!$G$53*$AG42+'Kalkylvärden 1'!$H$53))/2</f>
        <v>#DIV/0!</v>
      </c>
      <c r="AO42" s="188" t="e">
        <f>ABS(W42)*($AF42-$AG42)/2*((#REF!*$AF42+#REF!)+(#REF!*$AG42+#REF!))/2</f>
        <v>#DIV/0!</v>
      </c>
    </row>
    <row r="43" spans="7:41" x14ac:dyDescent="0.25">
      <c r="G43" s="231" t="s">
        <v>456</v>
      </c>
      <c r="H43" s="261"/>
      <c r="I43" s="231" t="s">
        <v>1</v>
      </c>
      <c r="J43" s="261"/>
      <c r="K43" s="261"/>
      <c r="L43" s="261"/>
      <c r="M43" s="261"/>
      <c r="N43" s="61" t="e">
        <f t="shared" si="0"/>
        <v>#DIV/0!</v>
      </c>
      <c r="O43" s="61" t="e">
        <f t="shared" si="1"/>
        <v>#DIV/0!</v>
      </c>
      <c r="P43" s="150">
        <f t="shared" si="2"/>
        <v>0</v>
      </c>
      <c r="Q43" s="150">
        <f t="shared" si="3"/>
        <v>0</v>
      </c>
      <c r="R43" s="150">
        <f t="shared" si="4"/>
        <v>0</v>
      </c>
      <c r="S43" s="150">
        <f t="shared" si="5"/>
        <v>0</v>
      </c>
      <c r="T43" s="51">
        <f>IF($M43&gt;0,P43*($N43/100*'Kalkylvärden 1'!$B$19+O43/100*'Kalkylvärden 1'!$C$19),-P43)</f>
        <v>0</v>
      </c>
      <c r="U43" s="51">
        <f>IF($M43&gt;0,Q43*($N43/100*Projektspecifikt!B16+$O43/100*Projektspecifikt!C16),-Q43)</f>
        <v>0</v>
      </c>
      <c r="V43" s="51">
        <f>IF($M43&gt;0,R43*($N43/100*Projektspecifikt!B17+$O43/100*Projektspecifikt!C17),-R43)</f>
        <v>0</v>
      </c>
      <c r="W43" s="51">
        <f>IF(M43&gt;0,S43*($N43/100*Projektspecifikt!B18+$O43/100*Projektspecifikt!C18),-S43)</f>
        <v>0</v>
      </c>
      <c r="X43" s="51">
        <f>(P43+T43)*$K43*'Kalkylvärden 1'!$C$31/60</f>
        <v>0</v>
      </c>
      <c r="Y43" s="51">
        <f>(Q43+U43)*$K43*'Kalkylvärden 1'!$O$31/60</f>
        <v>0</v>
      </c>
      <c r="Z43" s="51">
        <f>(R43+V43)*$K43*'Kalkylvärden 1'!$B$31/60</f>
        <v>0</v>
      </c>
      <c r="AA43" s="51">
        <f>(S43+W43)*$K43*'Kalkylvärden 1'!$P$31/60</f>
        <v>0</v>
      </c>
      <c r="AB43" s="188">
        <f>ABS(T43)*$K43*'Kalkylvärden 1'!$C$31/(60*2)</f>
        <v>0</v>
      </c>
      <c r="AC43" s="188">
        <f>ABS(U43)*$K43*'Kalkylvärden 1'!$C$31/(60*2)</f>
        <v>0</v>
      </c>
      <c r="AD43" s="188">
        <f>ABS(V43)*$K43*'Kalkylvärden 1'!$C$31/(60*2)</f>
        <v>0</v>
      </c>
      <c r="AE43" s="188">
        <f>ABS(W43)*$K43*'Kalkylvärden 1'!$C$31/(60*2)</f>
        <v>0</v>
      </c>
      <c r="AF43" t="e">
        <f t="shared" si="6"/>
        <v>#DIV/0!</v>
      </c>
      <c r="AG43" t="e">
        <f t="shared" si="6"/>
        <v>#DIV/0!</v>
      </c>
      <c r="AH43" s="188" t="e">
        <f>(P43+T43)*($AF43-$AG43)*(('Kalkylvärden 1'!$G$54*AG43+'Kalkylvärden 1'!$H$54)+('Kalkylvärden 1'!$G$54*'Person UA1'!AF43+'Kalkylvärden 1'!$H$54))/2</f>
        <v>#DIV/0!</v>
      </c>
      <c r="AI43" s="188" t="e">
        <f>(Q43+U43)*($AF43-$AG43)*(('Kalkylvärden 1'!$G$56*'Person UA1'!AG43+'Kalkylvärden 1'!$H$56)+('Kalkylvärden 1'!$G$56*$AF43+'Kalkylvärden 1'!$H$56))/2</f>
        <v>#DIV/0!</v>
      </c>
      <c r="AJ43" s="188" t="e">
        <f>(R43+V43)*($AF43-$AG43)*(('Kalkylvärden 1'!$G$53*$AG43+#REF!)+('Kalkylvärden 1'!$G$53*$AF43+'Kalkylvärden 1'!$H$53))/2</f>
        <v>#DIV/0!</v>
      </c>
      <c r="AK43" s="188" t="e">
        <f>(S43+W43)*($AF43-$AG43)*(('Kalkylvärden 1'!$G$55*$AG43+'Kalkylvärden 1'!$H$55)+('Kalkylvärden 1'!$G$55*$AF43+'Kalkylvärden 1'!$H$55))/2</f>
        <v>#DIV/0!</v>
      </c>
      <c r="AL43" s="188" t="e">
        <f>ABS(T43)*($AF43-$AG43)/2*((#REF!*$AF43+#REF!)+(#REF!*$AG43+#REF!))/2</f>
        <v>#DIV/0!</v>
      </c>
      <c r="AM43" s="188" t="e">
        <f>ABS(U43)*($AF43-$AG43)/2*(('Kalkylvärden 1'!$G$56*$AF43+'Kalkylvärden 1'!$H$56)+('Kalkylvärden 1'!$G$56*$AG43+'Kalkylvärden 1'!$H$56))/2</f>
        <v>#DIV/0!</v>
      </c>
      <c r="AN43" s="188" t="e">
        <f>ABS(V43)*($AF43-$AG43)/2*(('Kalkylvärden 1'!$G$53*$AF43+'Kalkylvärden 1'!$H$53)+('Kalkylvärden 1'!$G$53*$AG43+'Kalkylvärden 1'!$H$53))/2</f>
        <v>#DIV/0!</v>
      </c>
      <c r="AO43" s="188" t="e">
        <f>ABS(W43)*($AF43-$AG43)/2*(('Kalkylvärden 1'!#REF!*$AF43+#REF!)+('Kalkylvärden 1'!#REF!*$AG43+#REF!))/2</f>
        <v>#DIV/0!</v>
      </c>
    </row>
    <row r="44" spans="7:41" x14ac:dyDescent="0.25">
      <c r="G44" s="231" t="s">
        <v>458</v>
      </c>
      <c r="H44" s="261"/>
      <c r="I44" s="231" t="s">
        <v>1</v>
      </c>
      <c r="J44" s="261"/>
      <c r="K44" s="261"/>
      <c r="L44" s="261"/>
      <c r="M44" s="261"/>
      <c r="N44" s="61" t="e">
        <f t="shared" si="0"/>
        <v>#DIV/0!</v>
      </c>
      <c r="O44" s="61" t="e">
        <f t="shared" si="1"/>
        <v>#DIV/0!</v>
      </c>
      <c r="P44" s="150">
        <f t="shared" si="2"/>
        <v>0</v>
      </c>
      <c r="Q44" s="150">
        <f t="shared" si="3"/>
        <v>0</v>
      </c>
      <c r="R44" s="150">
        <f t="shared" si="4"/>
        <v>0</v>
      </c>
      <c r="S44" s="150">
        <f t="shared" si="5"/>
        <v>0</v>
      </c>
      <c r="T44" s="51">
        <f>IF($M44&gt;0,P44*($N44/100*'Kalkylvärden 1'!$B$19+O44/100*'Kalkylvärden 1'!$C$19),-P44)</f>
        <v>0</v>
      </c>
      <c r="U44" s="51">
        <f>IF($M44&gt;0,Q44*($N44/100*Projektspecifikt!B17+$O44/100*Projektspecifikt!C17),-Q44)</f>
        <v>0</v>
      </c>
      <c r="V44" s="51">
        <f>IF($M44&gt;0,R44*($N44/100*Projektspecifikt!B18+$O44/100*Projektspecifikt!C18),-R44)</f>
        <v>0</v>
      </c>
      <c r="W44" s="51">
        <f>IF(M44&gt;0,S44*($N44/100*Projektspecifikt!B19+$O44/100*Projektspecifikt!C19),-S44)</f>
        <v>0</v>
      </c>
      <c r="X44" s="51">
        <f>(P44+T44)*$K44*'Kalkylvärden 1'!$C$31/60</f>
        <v>0</v>
      </c>
      <c r="Y44" s="51">
        <f>(Q44+U44)*$K44*'Kalkylvärden 1'!$O$31/60</f>
        <v>0</v>
      </c>
      <c r="Z44" s="51">
        <f>(R44+V44)*$K44*'Kalkylvärden 1'!$B$31/60</f>
        <v>0</v>
      </c>
      <c r="AA44" s="51">
        <f>(S44+W44)*$K44*'Kalkylvärden 1'!$P$31/60</f>
        <v>0</v>
      </c>
      <c r="AB44" s="188">
        <f>ABS(T44)*$K44*'Kalkylvärden 1'!$C$31/(60*2)</f>
        <v>0</v>
      </c>
      <c r="AC44" s="188">
        <f>ABS(U44)*$K44*'Kalkylvärden 1'!$C$31/(60*2)</f>
        <v>0</v>
      </c>
      <c r="AD44" s="188">
        <f>ABS(V44)*$K44*'Kalkylvärden 1'!$C$31/(60*2)</f>
        <v>0</v>
      </c>
      <c r="AE44" s="188">
        <f>ABS(W44)*$K44*'Kalkylvärden 1'!$C$31/(60*2)</f>
        <v>0</v>
      </c>
      <c r="AF44" t="e">
        <f t="shared" si="6"/>
        <v>#DIV/0!</v>
      </c>
      <c r="AG44" t="e">
        <f t="shared" si="6"/>
        <v>#DIV/0!</v>
      </c>
      <c r="AH44" s="188" t="e">
        <f>(P44+T44)*($AF44-$AG44)*(('Kalkylvärden 1'!$G$54*AG44+'Kalkylvärden 1'!$H$54)+('Kalkylvärden 1'!$G$54*'Person UA1'!AF44+'Kalkylvärden 1'!$H$54))/2</f>
        <v>#DIV/0!</v>
      </c>
      <c r="AI44" s="188" t="e">
        <f>(Q44+U44)*($AF44-$AG44)*(('Kalkylvärden 1'!$G$56*'Person UA1'!AG44+'Kalkylvärden 1'!$H$56)+('Kalkylvärden 1'!$G$56*$AF44+'Kalkylvärden 1'!$H$56))/2</f>
        <v>#DIV/0!</v>
      </c>
      <c r="AJ44" s="188" t="e">
        <f>(R44+V44)*($AF44-$AG44)*(('Kalkylvärden 1'!$G$53*$AG44+#REF!)+('Kalkylvärden 1'!$G$53*$AF44+'Kalkylvärden 1'!$H$53))/2</f>
        <v>#DIV/0!</v>
      </c>
      <c r="AK44" s="188" t="e">
        <f>(S44+W44)*($AF44-$AG44)*(('Kalkylvärden 1'!$G$55*$AG44+'Kalkylvärden 1'!$H$55)+('Kalkylvärden 1'!$G$55*$AF44+'Kalkylvärden 1'!$H$55))/2</f>
        <v>#DIV/0!</v>
      </c>
      <c r="AL44" s="188" t="e">
        <f>ABS(T44)*($AF44-$AG44)/2*(('Kalkylvärden 1'!#REF!*$AF44+#REF!)+('Kalkylvärden 1'!#REF!*$AG44+#REF!))/2</f>
        <v>#DIV/0!</v>
      </c>
      <c r="AM44" s="188" t="e">
        <f>ABS(U44)*($AF44-$AG44)/2*(('Kalkylvärden 1'!$G$56*$AF44+'Kalkylvärden 1'!$H$56)+('Kalkylvärden 1'!$G$56*$AG44+'Kalkylvärden 1'!$H$56))/2</f>
        <v>#DIV/0!</v>
      </c>
      <c r="AN44" s="188" t="e">
        <f>ABS(V44)*($AF44-$AG44)/2*(('Kalkylvärden 1'!$G$53*$AF44+'Kalkylvärden 1'!$H$53)+('Kalkylvärden 1'!$G$53*$AG44+'Kalkylvärden 1'!$H$53))/2</f>
        <v>#DIV/0!</v>
      </c>
      <c r="AO44" s="188" t="e">
        <f>ABS(W44)*($AF44-$AG44)/2*(('Kalkylvärden 1'!G125*$AF44+#REF!)+('Kalkylvärden 1'!G125*$AG44+#REF!))/2</f>
        <v>#DIV/0!</v>
      </c>
    </row>
    <row r="45" spans="7:41" x14ac:dyDescent="0.25">
      <c r="G45" s="231" t="s">
        <v>459</v>
      </c>
      <c r="H45" s="261"/>
      <c r="I45" s="231" t="s">
        <v>1</v>
      </c>
      <c r="J45" s="261"/>
      <c r="K45" s="261"/>
      <c r="L45" s="261"/>
      <c r="M45" s="261"/>
      <c r="N45" s="61" t="e">
        <f t="shared" si="0"/>
        <v>#DIV/0!</v>
      </c>
      <c r="O45" s="61" t="e">
        <f t="shared" si="1"/>
        <v>#DIV/0!</v>
      </c>
      <c r="P45" s="150">
        <f t="shared" si="2"/>
        <v>0</v>
      </c>
      <c r="Q45" s="150">
        <f t="shared" si="3"/>
        <v>0</v>
      </c>
      <c r="R45" s="150">
        <f t="shared" si="4"/>
        <v>0</v>
      </c>
      <c r="S45" s="150">
        <f t="shared" si="5"/>
        <v>0</v>
      </c>
      <c r="T45" s="51">
        <f>IF($M45&gt;0,P45*($N45/100*'Kalkylvärden 1'!$B$19+O45/100*'Kalkylvärden 1'!$C$19),-P45)</f>
        <v>0</v>
      </c>
      <c r="U45" s="51">
        <f>IF($M45&gt;0,Q45*($N45/100*Projektspecifikt!B18+$O45/100*Projektspecifikt!C18),-Q45)</f>
        <v>0</v>
      </c>
      <c r="V45" s="51">
        <f>IF($M45&gt;0,R45*($N45/100*Projektspecifikt!B19+$O45/100*Projektspecifikt!C19),-R45)</f>
        <v>0</v>
      </c>
      <c r="W45" s="51">
        <f>IF(M45&gt;0,S45*($N45/100*Projektspecifikt!B20+$O45/100*Projektspecifikt!C20),-S45)</f>
        <v>0</v>
      </c>
      <c r="X45" s="51">
        <f>(P45+T45)*$K45*'Kalkylvärden 1'!$C$31/60</f>
        <v>0</v>
      </c>
      <c r="Y45" s="51">
        <f>(Q45+U45)*$K45*'Kalkylvärden 1'!$O$31/60</f>
        <v>0</v>
      </c>
      <c r="Z45" s="51">
        <f>(R45+V45)*$K45*'Kalkylvärden 1'!$B$31/60</f>
        <v>0</v>
      </c>
      <c r="AA45" s="51">
        <f>(S45+W45)*$K45*'Kalkylvärden 1'!$P$31/60</f>
        <v>0</v>
      </c>
      <c r="AB45" s="188">
        <f>ABS(T45)*$K45*'Kalkylvärden 1'!$C$31/(60*2)</f>
        <v>0</v>
      </c>
      <c r="AC45" s="188">
        <f>ABS(U45)*$K45*'Kalkylvärden 1'!$C$31/(60*2)</f>
        <v>0</v>
      </c>
      <c r="AD45" s="188">
        <f>ABS(V45)*$K45*'Kalkylvärden 1'!$C$31/(60*2)</f>
        <v>0</v>
      </c>
      <c r="AE45" s="188">
        <f>ABS(W45)*$K45*'Kalkylvärden 1'!$C$31/(60*2)</f>
        <v>0</v>
      </c>
      <c r="AF45" t="e">
        <f t="shared" si="6"/>
        <v>#DIV/0!</v>
      </c>
      <c r="AG45" t="e">
        <f t="shared" si="6"/>
        <v>#DIV/0!</v>
      </c>
      <c r="AH45" s="188" t="e">
        <f>(P45+T45)*($AF45-$AG45)*(('Kalkylvärden 1'!$G$54*AG45+'Kalkylvärden 1'!$H$54)+('Kalkylvärden 1'!$G$54*'Person UA1'!AF45+'Kalkylvärden 1'!$H$54))/2</f>
        <v>#DIV/0!</v>
      </c>
      <c r="AI45" s="188" t="e">
        <f>(Q45+U45)*($AF45-$AG45)*(('Kalkylvärden 1'!$G$56*'Person UA1'!AG45+'Kalkylvärden 1'!$H$56)+('Kalkylvärden 1'!$G$56*$AF45+'Kalkylvärden 1'!$H$56))/2</f>
        <v>#DIV/0!</v>
      </c>
      <c r="AJ45" s="188" t="e">
        <f>(R45+V45)*($AF45-$AG45)*(('Kalkylvärden 1'!$G$53*$AG45+#REF!)+('Kalkylvärden 1'!$G$53*$AF45+'Kalkylvärden 1'!$H$53))/2</f>
        <v>#DIV/0!</v>
      </c>
      <c r="AK45" s="188" t="e">
        <f>(S45+W45)*($AF45-$AG45)*(('Kalkylvärden 1'!$G$55*$AG45+'Kalkylvärden 1'!$H$55)+('Kalkylvärden 1'!$G$55*$AF45+'Kalkylvärden 1'!$H$55))/2</f>
        <v>#DIV/0!</v>
      </c>
      <c r="AL45" s="188" t="e">
        <f>ABS(T45)*($AF45-$AG45)/2*(('Kalkylvärden 1'!G125*$AF45+#REF!)+('Kalkylvärden 1'!G125*$AG45+#REF!))/2</f>
        <v>#DIV/0!</v>
      </c>
      <c r="AM45" s="188" t="e">
        <f>ABS(U45)*($AF45-$AG45)/2*(('Kalkylvärden 1'!$G$56*$AF45+'Kalkylvärden 1'!$H$56)+('Kalkylvärden 1'!$G$56*$AG45+'Kalkylvärden 1'!$H$56))/2</f>
        <v>#DIV/0!</v>
      </c>
      <c r="AN45" s="188" t="e">
        <f>ABS(V45)*($AF45-$AG45)/2*(('Kalkylvärden 1'!$G$53*$AF45+'Kalkylvärden 1'!$H$53)+('Kalkylvärden 1'!$G$53*$AG45+'Kalkylvärden 1'!$H$53))/2</f>
        <v>#DIV/0!</v>
      </c>
      <c r="AO45" s="188" t="e">
        <f>ABS(W45)*($AF45-$AG45)/2*(('Kalkylvärden 1'!G126*$AF45+#REF!)+('Kalkylvärden 1'!G126*$AG45+#REF!))/2</f>
        <v>#DIV/0!</v>
      </c>
    </row>
    <row r="46" spans="7:41" x14ac:dyDescent="0.25">
      <c r="H46">
        <f>IF(SUM(H32:H45)&gt;100,"MER ÄN 100%!",SUM(H32:H45))</f>
        <v>100</v>
      </c>
      <c r="T46" s="188">
        <f>SUMIF(T32:T45,"&lt;&gt;#DIVISION/0!")</f>
        <v>-287.87499999999989</v>
      </c>
      <c r="U46" s="188">
        <f t="shared" ref="U46:AO46" si="7">SUMIF(U32:U45,"&lt;&gt;#DIVISION/0!")</f>
        <v>-139.81874999999999</v>
      </c>
      <c r="V46" s="188">
        <f t="shared" si="7"/>
        <v>-360.65000000000003</v>
      </c>
      <c r="W46" s="188">
        <f t="shared" si="7"/>
        <v>-100.53750000000001</v>
      </c>
      <c r="X46" s="188">
        <f t="shared" si="7"/>
        <v>-12127.552083333334</v>
      </c>
      <c r="Y46" s="188">
        <f t="shared" si="7"/>
        <v>-8644.35</v>
      </c>
      <c r="Z46" s="188">
        <f t="shared" si="7"/>
        <v>-8961.7799999999988</v>
      </c>
      <c r="AA46" s="188">
        <f t="shared" si="7"/>
        <v>-9587.1</v>
      </c>
      <c r="AB46" s="188">
        <f t="shared" si="7"/>
        <v>-1019.5572916666663</v>
      </c>
      <c r="AC46" s="188">
        <f t="shared" si="7"/>
        <v>-1677.825</v>
      </c>
      <c r="AD46" s="188">
        <f t="shared" si="7"/>
        <v>-985.77666666666676</v>
      </c>
      <c r="AE46" s="188">
        <f t="shared" si="7"/>
        <v>-1206.4500000000003</v>
      </c>
      <c r="AF46" s="188">
        <f t="shared" si="7"/>
        <v>120</v>
      </c>
      <c r="AG46" s="188">
        <f t="shared" si="7"/>
        <v>150</v>
      </c>
      <c r="AH46" s="188">
        <f t="shared" si="7"/>
        <v>27089.241749999994</v>
      </c>
      <c r="AI46" s="188">
        <f t="shared" si="7"/>
        <v>-26292.871068749999</v>
      </c>
      <c r="AJ46" s="188">
        <f t="shared" si="7"/>
        <v>-29409.938999999998</v>
      </c>
      <c r="AK46" s="188">
        <f t="shared" si="7"/>
        <v>-41394.701025000002</v>
      </c>
      <c r="AL46" s="188">
        <f t="shared" si="7"/>
        <v>2277.3791249999986</v>
      </c>
      <c r="AM46" s="188">
        <f t="shared" si="7"/>
        <v>-5103.3144656249997</v>
      </c>
      <c r="AN46" s="188">
        <f t="shared" si="7"/>
        <v>-3235.0305000000003</v>
      </c>
      <c r="AO46" s="188">
        <f t="shared" si="7"/>
        <v>-5209.1494875000008</v>
      </c>
    </row>
    <row r="47" spans="7:41" x14ac:dyDescent="0.25">
      <c r="G47" s="68" t="s">
        <v>460</v>
      </c>
      <c r="T47" s="188"/>
      <c r="U47" s="188"/>
      <c r="V47" s="188"/>
      <c r="W47" s="188"/>
    </row>
    <row r="48" spans="7:41" x14ac:dyDescent="0.25">
      <c r="G48" s="191" t="s">
        <v>461</v>
      </c>
      <c r="T48" s="192" t="s">
        <v>462</v>
      </c>
      <c r="U48" s="188"/>
      <c r="V48" s="188"/>
      <c r="W48" s="188"/>
    </row>
    <row r="49" spans="1:37" x14ac:dyDescent="0.25">
      <c r="G49" s="172" t="s">
        <v>463</v>
      </c>
      <c r="T49" s="188">
        <f>SUM(T46:W46)</f>
        <v>-888.88125000000002</v>
      </c>
      <c r="AI49" s="193"/>
    </row>
    <row r="50" spans="1:37" x14ac:dyDescent="0.25">
      <c r="G50" s="172" t="s">
        <v>464</v>
      </c>
      <c r="P50" s="187"/>
      <c r="AJ50">
        <f>([1]Kalkylvärden!$Q$28*'[1]UA1 Person'!$AG57+[1]Kalkylvärden!$R$28)</f>
        <v>0.50590000000000002</v>
      </c>
      <c r="AK50" t="s">
        <v>318</v>
      </c>
    </row>
    <row r="51" spans="1:37" x14ac:dyDescent="0.25">
      <c r="P51" s="1"/>
      <c r="AJ51">
        <f>([1]Kalkylvärden!$Q$28*'[1]UA1 Person'!$AF57+[1]Kalkylvärden!$R$28)</f>
        <v>0.54189999999999994</v>
      </c>
      <c r="AK51" t="s">
        <v>258</v>
      </c>
    </row>
    <row r="52" spans="1:37" ht="20.25" x14ac:dyDescent="0.3">
      <c r="A52" s="169" t="s">
        <v>465</v>
      </c>
      <c r="P52" s="194"/>
    </row>
    <row r="53" spans="1:37" ht="15.75" thickBot="1" x14ac:dyDescent="0.3">
      <c r="Y53" s="188"/>
    </row>
    <row r="54" spans="1:37" s="153" customFormat="1" ht="45" x14ac:dyDescent="0.25">
      <c r="B54" s="242" t="s">
        <v>258</v>
      </c>
      <c r="C54" s="242" t="s">
        <v>318</v>
      </c>
      <c r="E54" s="427" t="s">
        <v>466</v>
      </c>
      <c r="F54" s="404"/>
      <c r="G54" s="405" t="s">
        <v>538</v>
      </c>
      <c r="H54" s="404"/>
      <c r="I54" s="404"/>
      <c r="J54" s="404"/>
      <c r="K54" s="404"/>
      <c r="L54" s="406"/>
      <c r="AH54" s="243"/>
    </row>
    <row r="55" spans="1:37" ht="45" x14ac:dyDescent="0.25">
      <c r="A55" t="s">
        <v>469</v>
      </c>
      <c r="B55" s="274">
        <v>40000</v>
      </c>
      <c r="C55" s="274">
        <v>30000</v>
      </c>
      <c r="D55" s="245" t="s">
        <v>550</v>
      </c>
      <c r="E55" s="407" t="s">
        <v>467</v>
      </c>
      <c r="F55" s="408">
        <v>2</v>
      </c>
      <c r="G55" s="409" t="s">
        <v>544</v>
      </c>
      <c r="H55" s="410"/>
      <c r="I55" s="408"/>
      <c r="J55" s="408"/>
      <c r="K55" s="408"/>
      <c r="L55" s="411"/>
      <c r="AH55" s="192"/>
    </row>
    <row r="56" spans="1:37" x14ac:dyDescent="0.25">
      <c r="A56" t="s">
        <v>471</v>
      </c>
      <c r="B56" s="274">
        <v>60000</v>
      </c>
      <c r="C56" s="274">
        <v>80000</v>
      </c>
      <c r="E56" s="407" t="s">
        <v>468</v>
      </c>
      <c r="F56" s="408">
        <f>J80</f>
        <v>43.333333333333329</v>
      </c>
      <c r="G56" s="409" t="s">
        <v>543</v>
      </c>
      <c r="H56" s="408"/>
      <c r="I56" s="408"/>
      <c r="J56" s="408"/>
      <c r="K56" s="408"/>
      <c r="L56" s="411"/>
      <c r="AH56" s="192"/>
    </row>
    <row r="57" spans="1:37" x14ac:dyDescent="0.25">
      <c r="A57" t="s">
        <v>473</v>
      </c>
      <c r="B57" s="274">
        <v>30000</v>
      </c>
      <c r="C57" s="274">
        <v>40000</v>
      </c>
      <c r="E57" s="407" t="s">
        <v>470</v>
      </c>
      <c r="F57" s="408">
        <v>97</v>
      </c>
      <c r="G57" s="408"/>
      <c r="H57" s="408"/>
      <c r="I57" s="408"/>
      <c r="J57" s="408"/>
      <c r="K57" s="408"/>
      <c r="L57" s="411"/>
      <c r="AH57" s="192"/>
    </row>
    <row r="58" spans="1:37" x14ac:dyDescent="0.25">
      <c r="A58" t="s">
        <v>475</v>
      </c>
      <c r="B58" s="274">
        <v>60000</v>
      </c>
      <c r="C58" s="274">
        <v>70000</v>
      </c>
      <c r="E58" s="407" t="s">
        <v>472</v>
      </c>
      <c r="F58" s="408">
        <v>320</v>
      </c>
      <c r="G58" s="408"/>
      <c r="H58" s="408"/>
      <c r="I58" s="408"/>
      <c r="J58" s="408"/>
      <c r="K58" s="408"/>
      <c r="L58" s="411"/>
      <c r="AH58" s="192"/>
    </row>
    <row r="59" spans="1:37" x14ac:dyDescent="0.25">
      <c r="E59" s="407" t="s">
        <v>474</v>
      </c>
      <c r="F59" s="408">
        <v>2</v>
      </c>
      <c r="G59" s="408"/>
      <c r="H59" s="408" t="s">
        <v>494</v>
      </c>
      <c r="I59" s="408"/>
      <c r="J59" s="408"/>
      <c r="K59" s="408"/>
      <c r="L59" s="411"/>
      <c r="AH59" s="192"/>
    </row>
    <row r="60" spans="1:37" x14ac:dyDescent="0.25">
      <c r="E60" s="407" t="s">
        <v>476</v>
      </c>
      <c r="F60" s="412">
        <f>F55*F56*F58*F59</f>
        <v>55466.666666666657</v>
      </c>
      <c r="G60" s="408"/>
      <c r="H60" s="413">
        <v>65</v>
      </c>
      <c r="I60" s="408" t="s">
        <v>495</v>
      </c>
      <c r="J60" s="408" t="s">
        <v>713</v>
      </c>
      <c r="K60" s="408"/>
      <c r="L60" s="411"/>
      <c r="AH60" s="192"/>
    </row>
    <row r="61" spans="1:37" x14ac:dyDescent="0.25">
      <c r="B61" s="429"/>
      <c r="C61" s="620"/>
      <c r="D61" s="429"/>
      <c r="E61" s="407" t="s">
        <v>477</v>
      </c>
      <c r="F61" s="412">
        <f>F55*F57*F58*F59</f>
        <v>124160</v>
      </c>
      <c r="G61" s="408"/>
      <c r="H61" s="408"/>
      <c r="I61" s="408"/>
      <c r="J61" s="408"/>
      <c r="K61" s="408"/>
      <c r="L61" s="411"/>
      <c r="AH61" s="192"/>
    </row>
    <row r="62" spans="1:37" x14ac:dyDescent="0.25">
      <c r="E62" s="407"/>
      <c r="F62" s="408"/>
      <c r="G62" s="408"/>
      <c r="H62" s="408"/>
      <c r="I62" s="408"/>
      <c r="J62" s="408"/>
      <c r="K62" s="408"/>
      <c r="L62" s="411"/>
      <c r="AH62" s="192"/>
    </row>
    <row r="63" spans="1:37" x14ac:dyDescent="0.25">
      <c r="A63" t="s">
        <v>478</v>
      </c>
      <c r="B63" s="274">
        <v>1</v>
      </c>
      <c r="C63" s="172" t="s">
        <v>479</v>
      </c>
      <c r="E63" s="407"/>
      <c r="F63" s="408"/>
      <c r="G63" s="408"/>
      <c r="H63" s="408"/>
      <c r="I63" s="408"/>
      <c r="J63" s="408"/>
      <c r="K63" s="408"/>
      <c r="L63" s="411"/>
      <c r="AH63" s="192"/>
    </row>
    <row r="64" spans="1:37" x14ac:dyDescent="0.25">
      <c r="E64" s="407"/>
      <c r="F64" s="408"/>
      <c r="G64" s="409" t="s">
        <v>545</v>
      </c>
      <c r="H64" s="408"/>
      <c r="I64" s="408"/>
      <c r="J64" s="408"/>
      <c r="K64" s="408"/>
      <c r="L64" s="411"/>
    </row>
    <row r="65" spans="1:12" x14ac:dyDescent="0.25">
      <c r="B65" s="196" t="s">
        <v>258</v>
      </c>
      <c r="C65" s="196" t="s">
        <v>318</v>
      </c>
      <c r="E65" s="407"/>
      <c r="F65" s="408"/>
      <c r="G65" s="414"/>
      <c r="H65" s="415"/>
      <c r="I65" s="416" t="s">
        <v>480</v>
      </c>
      <c r="J65" s="416" t="s">
        <v>481</v>
      </c>
      <c r="K65" s="417"/>
      <c r="L65" s="411"/>
    </row>
    <row r="66" spans="1:12" x14ac:dyDescent="0.25">
      <c r="A66" t="s">
        <v>482</v>
      </c>
      <c r="B66" s="309">
        <f>IF($B63=0,B55*('Kalkylvärden 1'!$D$71),B55*('Kalkylvärden 1'!$D$68))</f>
        <v>884400</v>
      </c>
      <c r="C66" s="309">
        <f>IF($B63=0,C55*('Kalkylvärden 1'!$D$71),C55*('Kalkylvärden 1'!$D$68))</f>
        <v>663300</v>
      </c>
      <c r="D66" t="s">
        <v>328</v>
      </c>
      <c r="E66" s="407"/>
      <c r="F66" s="408"/>
      <c r="G66" s="418" t="str">
        <f t="shared" ref="G66:G79" si="8">G32</f>
        <v>Relation 1</v>
      </c>
      <c r="H66" s="408"/>
      <c r="I66" s="410">
        <f>J32/60*H$60</f>
        <v>43.333333333333329</v>
      </c>
      <c r="J66" s="410">
        <f t="shared" ref="J66:J79" si="9">I66*H32/100</f>
        <v>43.333333333333329</v>
      </c>
      <c r="K66" s="419"/>
      <c r="L66" s="411"/>
    </row>
    <row r="67" spans="1:12" x14ac:dyDescent="0.25">
      <c r="A67" t="s">
        <v>483</v>
      </c>
      <c r="B67" s="309">
        <f>IF($B63=0,B56*('Kalkylvärden 1'!$E$71),B56*('Kalkylvärden 1'!$E$68))</f>
        <v>3784800</v>
      </c>
      <c r="C67" s="309">
        <f>IF($B63=0,C56*('Kalkylvärden 1'!$E$71),C56*('Kalkylvärden 1'!$E$68))</f>
        <v>5046400</v>
      </c>
      <c r="D67" t="s">
        <v>328</v>
      </c>
      <c r="E67" s="407"/>
      <c r="F67" s="408"/>
      <c r="G67" s="418" t="str">
        <f t="shared" si="8"/>
        <v>Relation 2</v>
      </c>
      <c r="H67" s="408"/>
      <c r="I67" s="410">
        <f t="shared" ref="I67:I79" si="10">J33/60*H$60</f>
        <v>0</v>
      </c>
      <c r="J67" s="410">
        <f t="shared" si="9"/>
        <v>0</v>
      </c>
      <c r="K67" s="419"/>
      <c r="L67" s="411"/>
    </row>
    <row r="68" spans="1:12" x14ac:dyDescent="0.25">
      <c r="A68" t="s">
        <v>484</v>
      </c>
      <c r="B68" s="309">
        <f>B57*'Kalkylvärden 1'!$B$79</f>
        <v>185100</v>
      </c>
      <c r="C68" s="309">
        <f>C57*'Kalkylvärden 1'!B79</f>
        <v>246800</v>
      </c>
      <c r="D68" t="s">
        <v>328</v>
      </c>
      <c r="E68" s="407"/>
      <c r="F68" s="408"/>
      <c r="G68" s="418" t="str">
        <f t="shared" si="8"/>
        <v>Stationsnamn 3</v>
      </c>
      <c r="H68" s="408"/>
      <c r="I68" s="410">
        <f t="shared" si="10"/>
        <v>0</v>
      </c>
      <c r="J68" s="410">
        <f t="shared" si="9"/>
        <v>0</v>
      </c>
      <c r="K68" s="419"/>
      <c r="L68" s="411"/>
    </row>
    <row r="69" spans="1:12" x14ac:dyDescent="0.25">
      <c r="A69" t="s">
        <v>485</v>
      </c>
      <c r="B69" s="309">
        <f>B58*'Kalkylvärden 1'!$C$79</f>
        <v>341400</v>
      </c>
      <c r="C69" s="309">
        <f>C58*'Kalkylvärden 1'!$C$79</f>
        <v>398300</v>
      </c>
      <c r="D69" t="s">
        <v>328</v>
      </c>
      <c r="E69" s="407"/>
      <c r="F69" s="408"/>
      <c r="G69" s="418" t="str">
        <f t="shared" si="8"/>
        <v>Stationsnamn 4</v>
      </c>
      <c r="H69" s="408"/>
      <c r="I69" s="410">
        <f t="shared" si="10"/>
        <v>0</v>
      </c>
      <c r="J69" s="410">
        <f t="shared" si="9"/>
        <v>0</v>
      </c>
      <c r="K69" s="419"/>
      <c r="L69" s="411"/>
    </row>
    <row r="70" spans="1:12" x14ac:dyDescent="0.25">
      <c r="B70" s="309">
        <f>SUM(B66:B69)</f>
        <v>5195700</v>
      </c>
      <c r="C70" s="309">
        <f>SUM(C66:C69)</f>
        <v>6354800</v>
      </c>
      <c r="D70" t="s">
        <v>328</v>
      </c>
      <c r="E70" s="407"/>
      <c r="F70" s="408"/>
      <c r="G70" s="418" t="str">
        <f t="shared" si="8"/>
        <v>Stationsnamn 5</v>
      </c>
      <c r="H70" s="408"/>
      <c r="I70" s="410">
        <f t="shared" si="10"/>
        <v>0</v>
      </c>
      <c r="J70" s="410">
        <f t="shared" si="9"/>
        <v>0</v>
      </c>
      <c r="K70" s="419"/>
      <c r="L70" s="411"/>
    </row>
    <row r="71" spans="1:12" x14ac:dyDescent="0.25">
      <c r="A71" s="464"/>
      <c r="B71" s="464"/>
      <c r="C71" s="464"/>
      <c r="D71" s="464"/>
      <c r="E71" s="407"/>
      <c r="F71" s="408"/>
      <c r="G71" s="418" t="str">
        <f t="shared" si="8"/>
        <v>Stationsnamn 6</v>
      </c>
      <c r="H71" s="408"/>
      <c r="I71" s="410">
        <f t="shared" si="10"/>
        <v>0</v>
      </c>
      <c r="J71" s="410">
        <f t="shared" si="9"/>
        <v>0</v>
      </c>
      <c r="K71" s="419"/>
      <c r="L71" s="411"/>
    </row>
    <row r="72" spans="1:12" ht="37.5" x14ac:dyDescent="0.3">
      <c r="A72" s="469" t="s">
        <v>882</v>
      </c>
      <c r="B72" s="468">
        <f>(B68+B69-C68-C69)/1000000</f>
        <v>-0.1186</v>
      </c>
      <c r="C72" s="467" t="s">
        <v>222</v>
      </c>
      <c r="E72" s="407"/>
      <c r="F72" s="408"/>
      <c r="G72" s="418" t="str">
        <f t="shared" si="8"/>
        <v>Stationsnamn 7</v>
      </c>
      <c r="H72" s="408"/>
      <c r="I72" s="410">
        <f t="shared" si="10"/>
        <v>0</v>
      </c>
      <c r="J72" s="410">
        <f t="shared" si="9"/>
        <v>0</v>
      </c>
      <c r="K72" s="419"/>
      <c r="L72" s="411"/>
    </row>
    <row r="73" spans="1:12" ht="37.5" x14ac:dyDescent="0.3">
      <c r="A73" s="619" t="s">
        <v>883</v>
      </c>
      <c r="B73" s="144">
        <f>(B66+B67-C66-C67)/1000000</f>
        <v>-1.0405</v>
      </c>
      <c r="C73" s="1" t="s">
        <v>222</v>
      </c>
      <c r="E73" s="407"/>
      <c r="F73" s="408"/>
      <c r="G73" s="418" t="str">
        <f t="shared" si="8"/>
        <v>Stationsnamn 8</v>
      </c>
      <c r="H73" s="408"/>
      <c r="I73" s="410">
        <f t="shared" si="10"/>
        <v>0</v>
      </c>
      <c r="J73" s="410">
        <f t="shared" si="9"/>
        <v>0</v>
      </c>
      <c r="K73" s="419"/>
      <c r="L73" s="411"/>
    </row>
    <row r="74" spans="1:12" x14ac:dyDescent="0.25">
      <c r="B74" s="1"/>
      <c r="C74" s="1"/>
      <c r="E74" s="407"/>
      <c r="F74" s="408"/>
      <c r="G74" s="418" t="str">
        <f t="shared" si="8"/>
        <v>Stationsnamn 9</v>
      </c>
      <c r="H74" s="408"/>
      <c r="I74" s="410">
        <f t="shared" si="10"/>
        <v>0</v>
      </c>
      <c r="J74" s="410">
        <f t="shared" si="9"/>
        <v>0</v>
      </c>
      <c r="K74" s="419"/>
      <c r="L74" s="411"/>
    </row>
    <row r="75" spans="1:12" ht="15.75" x14ac:dyDescent="0.25">
      <c r="A75" s="171" t="s">
        <v>486</v>
      </c>
      <c r="C75" s="1"/>
      <c r="E75" s="407"/>
      <c r="F75" s="408"/>
      <c r="G75" s="418" t="str">
        <f t="shared" si="8"/>
        <v>Stationsnamn 10</v>
      </c>
      <c r="H75" s="408"/>
      <c r="I75" s="410">
        <f t="shared" si="10"/>
        <v>0</v>
      </c>
      <c r="J75" s="410">
        <f t="shared" si="9"/>
        <v>0</v>
      </c>
      <c r="K75" s="419"/>
      <c r="L75" s="411"/>
    </row>
    <row r="76" spans="1:12" x14ac:dyDescent="0.25">
      <c r="A76" s="195"/>
      <c r="C76" s="1"/>
      <c r="E76" s="407"/>
      <c r="F76" s="408"/>
      <c r="G76" s="418" t="str">
        <f t="shared" si="8"/>
        <v>Stationsnamn 11</v>
      </c>
      <c r="H76" s="408"/>
      <c r="I76" s="410">
        <f t="shared" si="10"/>
        <v>0</v>
      </c>
      <c r="J76" s="410">
        <f t="shared" si="9"/>
        <v>0</v>
      </c>
      <c r="K76" s="419"/>
      <c r="L76" s="411"/>
    </row>
    <row r="77" spans="1:12" x14ac:dyDescent="0.25">
      <c r="A77" s="178" t="s">
        <v>487</v>
      </c>
      <c r="E77" s="407"/>
      <c r="F77" s="408"/>
      <c r="G77" s="418" t="str">
        <f t="shared" si="8"/>
        <v>Stationsnamn 12</v>
      </c>
      <c r="H77" s="408"/>
      <c r="I77" s="410">
        <f t="shared" si="10"/>
        <v>0</v>
      </c>
      <c r="J77" s="410">
        <f t="shared" si="9"/>
        <v>0</v>
      </c>
      <c r="K77" s="419"/>
      <c r="L77" s="411"/>
    </row>
    <row r="78" spans="1:12" x14ac:dyDescent="0.25">
      <c r="A78" s="274">
        <v>100</v>
      </c>
      <c r="B78" t="s">
        <v>370</v>
      </c>
      <c r="E78" s="407"/>
      <c r="F78" s="408"/>
      <c r="G78" s="418" t="str">
        <f t="shared" si="8"/>
        <v>Stationsnamn 13</v>
      </c>
      <c r="H78" s="408"/>
      <c r="I78" s="410">
        <f t="shared" si="10"/>
        <v>0</v>
      </c>
      <c r="J78" s="410">
        <f t="shared" si="9"/>
        <v>0</v>
      </c>
      <c r="K78" s="419"/>
      <c r="L78" s="411"/>
    </row>
    <row r="79" spans="1:12" x14ac:dyDescent="0.25">
      <c r="A79" s="195"/>
      <c r="E79" s="407"/>
      <c r="F79" s="408"/>
      <c r="G79" s="418" t="str">
        <f t="shared" si="8"/>
        <v>Stationsnamn 14</v>
      </c>
      <c r="H79" s="408"/>
      <c r="I79" s="410">
        <f t="shared" si="10"/>
        <v>0</v>
      </c>
      <c r="J79" s="410">
        <f t="shared" si="9"/>
        <v>0</v>
      </c>
      <c r="K79" s="419"/>
      <c r="L79" s="411"/>
    </row>
    <row r="80" spans="1:12" x14ac:dyDescent="0.25">
      <c r="A80" s="178" t="s">
        <v>488</v>
      </c>
      <c r="E80" s="407"/>
      <c r="F80" s="408"/>
      <c r="G80" s="420"/>
      <c r="H80" s="421"/>
      <c r="I80" s="421"/>
      <c r="J80" s="422">
        <f>SUM(J66:J73)</f>
        <v>43.333333333333329</v>
      </c>
      <c r="K80" s="423" t="s">
        <v>489</v>
      </c>
      <c r="L80" s="411"/>
    </row>
    <row r="81" spans="1:12" ht="15.75" thickBot="1" x14ac:dyDescent="0.3">
      <c r="A81" s="274">
        <v>100</v>
      </c>
      <c r="B81" t="s">
        <v>1</v>
      </c>
      <c r="E81" s="424"/>
      <c r="F81" s="425"/>
      <c r="G81" s="425"/>
      <c r="H81" s="425"/>
      <c r="I81" s="425"/>
      <c r="J81" s="425"/>
      <c r="K81" s="425"/>
      <c r="L81" s="426"/>
    </row>
    <row r="82" spans="1:12" x14ac:dyDescent="0.25">
      <c r="A82" s="172" t="s">
        <v>490</v>
      </c>
    </row>
    <row r="84" spans="1:12" x14ac:dyDescent="0.25">
      <c r="A84" s="178" t="s">
        <v>567</v>
      </c>
    </row>
    <row r="85" spans="1:12" x14ac:dyDescent="0.25">
      <c r="A85">
        <f>SUMIF(T32:W45,"&lt;&gt;#DIVISION/0!")</f>
        <v>-888.88125000000002</v>
      </c>
    </row>
    <row r="87" spans="1:12" x14ac:dyDescent="0.25">
      <c r="A87" s="178" t="s">
        <v>492</v>
      </c>
    </row>
    <row r="88" spans="1:12" x14ac:dyDescent="0.25">
      <c r="A88" s="197">
        <f>(A85*A81/100*A78)/1000000</f>
        <v>-8.8888124999999998E-2</v>
      </c>
      <c r="B88" t="s">
        <v>222</v>
      </c>
    </row>
    <row r="89" spans="1:12" x14ac:dyDescent="0.25">
      <c r="B89" s="1"/>
    </row>
    <row r="90" spans="1:12" x14ac:dyDescent="0.25">
      <c r="B90" s="1"/>
    </row>
    <row r="91" spans="1:12" ht="15.75" x14ac:dyDescent="0.25">
      <c r="A91" s="171" t="s">
        <v>335</v>
      </c>
    </row>
    <row r="92" spans="1:12" x14ac:dyDescent="0.25">
      <c r="A92" t="s">
        <v>493</v>
      </c>
    </row>
    <row r="93" spans="1:12" x14ac:dyDescent="0.25">
      <c r="H93" s="20"/>
    </row>
    <row r="94" spans="1:12" x14ac:dyDescent="0.25">
      <c r="H94" s="20"/>
    </row>
    <row r="96" spans="1:12" x14ac:dyDescent="0.25">
      <c r="A96" s="178" t="s">
        <v>496</v>
      </c>
    </row>
    <row r="97" spans="1:8" x14ac:dyDescent="0.25">
      <c r="A97" t="s">
        <v>497</v>
      </c>
      <c r="B97" s="667">
        <f>(-A85*J80*A81/100*1/'Kalkylvärden 1'!F137*'Kalkylvärden 1'!B159)/1000000</f>
        <v>-2.5365311312464035E-2</v>
      </c>
      <c r="C97" t="s">
        <v>222</v>
      </c>
    </row>
    <row r="98" spans="1:8" x14ac:dyDescent="0.25">
      <c r="A98" t="s">
        <v>199</v>
      </c>
      <c r="B98" s="666">
        <f>(-A85*J80*A81/100*1/'Kalkylvärden 1'!F137*'Kalkylvärden 1'!B160)/1000000</f>
        <v>9.7168897037981875E-3</v>
      </c>
      <c r="C98" t="s">
        <v>222</v>
      </c>
    </row>
    <row r="99" spans="1:8" x14ac:dyDescent="0.25">
      <c r="A99" t="s">
        <v>498</v>
      </c>
      <c r="B99" s="60">
        <f>SUM(B97:B98)</f>
        <v>-1.564842160866585E-2</v>
      </c>
      <c r="C99" t="s">
        <v>222</v>
      </c>
    </row>
    <row r="100" spans="1:8" x14ac:dyDescent="0.25">
      <c r="A100" s="192" t="s">
        <v>499</v>
      </c>
      <c r="B100" s="20"/>
      <c r="C100" s="20"/>
      <c r="D100" s="26"/>
    </row>
    <row r="101" spans="1:8" x14ac:dyDescent="0.25">
      <c r="A101" t="s">
        <v>497</v>
      </c>
      <c r="B101" s="244">
        <f>(('Person UA1'!C57-'Person UA1'!B57)*'Kalkylvärden 1'!B164)/1000000</f>
        <v>-9.0445151569979367E-3</v>
      </c>
      <c r="C101" t="s">
        <v>222</v>
      </c>
      <c r="H101" s="20"/>
    </row>
    <row r="102" spans="1:8" x14ac:dyDescent="0.25">
      <c r="A102" s="192" t="s">
        <v>500</v>
      </c>
      <c r="B102" s="20"/>
      <c r="H102" s="20"/>
    </row>
    <row r="103" spans="1:8" x14ac:dyDescent="0.25">
      <c r="A103" t="s">
        <v>497</v>
      </c>
      <c r="B103" s="61">
        <f>(C55-B55)*IF(B63=0,'Kalkylvärden 1'!B170,'Kalkylvärden 1'!B169)/1000000</f>
        <v>7.7100000000000002E-2</v>
      </c>
      <c r="C103" t="s">
        <v>222</v>
      </c>
      <c r="F103" s="197"/>
      <c r="H103" s="20"/>
    </row>
    <row r="104" spans="1:8" x14ac:dyDescent="0.25">
      <c r="B104" s="1"/>
      <c r="C104" s="1"/>
      <c r="H104" s="20"/>
    </row>
    <row r="105" spans="1:8" ht="15.75" x14ac:dyDescent="0.25">
      <c r="A105" s="171" t="s">
        <v>501</v>
      </c>
      <c r="C105" s="1"/>
      <c r="H105" s="20"/>
    </row>
    <row r="106" spans="1:8" x14ac:dyDescent="0.25">
      <c r="A106" s="3" t="s">
        <v>344</v>
      </c>
      <c r="C106" s="1"/>
      <c r="H106" s="20"/>
    </row>
    <row r="107" spans="1:8" x14ac:dyDescent="0.25">
      <c r="A107" s="3" t="s">
        <v>345</v>
      </c>
      <c r="C107" s="1"/>
      <c r="H107" s="20"/>
    </row>
    <row r="108" spans="1:8" x14ac:dyDescent="0.25">
      <c r="A108" s="262"/>
      <c r="B108" s="3" t="s">
        <v>222</v>
      </c>
      <c r="C108" s="1"/>
      <c r="H108" s="20"/>
    </row>
    <row r="109" spans="1:8" x14ac:dyDescent="0.25">
      <c r="A109" s="21" t="s">
        <v>346</v>
      </c>
      <c r="C109" s="1"/>
      <c r="H109" s="20"/>
    </row>
    <row r="110" spans="1:8" x14ac:dyDescent="0.25">
      <c r="C110" s="1"/>
      <c r="H110" s="20"/>
    </row>
    <row r="111" spans="1:8" x14ac:dyDescent="0.25">
      <c r="B111" s="1"/>
      <c r="C111" s="1"/>
      <c r="H111" s="20"/>
    </row>
    <row r="112" spans="1:8" x14ac:dyDescent="0.25">
      <c r="B112" s="1"/>
      <c r="C112" s="1"/>
      <c r="H112" s="20"/>
    </row>
    <row r="113" spans="1:108" x14ac:dyDescent="0.25">
      <c r="B113" s="1"/>
      <c r="C113" s="1"/>
      <c r="H113" s="20"/>
    </row>
    <row r="114" spans="1:108" ht="20.25" x14ac:dyDescent="0.3">
      <c r="A114" s="198" t="s">
        <v>347</v>
      </c>
      <c r="B114" s="1"/>
      <c r="C114" s="1"/>
      <c r="H114" s="20"/>
    </row>
    <row r="115" spans="1:108" x14ac:dyDescent="0.25">
      <c r="A115" s="172" t="s">
        <v>502</v>
      </c>
      <c r="B115" s="1"/>
      <c r="C115" s="1"/>
    </row>
    <row r="116" spans="1:108" x14ac:dyDescent="0.25">
      <c r="A116" s="172" t="s">
        <v>503</v>
      </c>
      <c r="B116" s="1"/>
      <c r="C116" s="1"/>
    </row>
    <row r="117" spans="1:108" x14ac:dyDescent="0.25">
      <c r="AH117" s="199"/>
      <c r="AI117" s="200"/>
      <c r="AJ117" s="200"/>
      <c r="AK117" s="201"/>
      <c r="AL117" s="201"/>
      <c r="AM117" s="1"/>
    </row>
    <row r="118" spans="1:108" x14ac:dyDescent="0.25">
      <c r="A118" s="39" t="s">
        <v>263</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108" s="11" customFormat="1" x14ac:dyDescent="0.25">
      <c r="A119" s="18" t="s">
        <v>207</v>
      </c>
      <c r="B119" s="22">
        <v>2025</v>
      </c>
      <c r="C119" s="11">
        <f>B119+1</f>
        <v>2026</v>
      </c>
      <c r="D119" s="11">
        <f t="shared" ref="D119:AP119" si="11">C119+1</f>
        <v>2027</v>
      </c>
      <c r="E119" s="11">
        <f t="shared" si="11"/>
        <v>2028</v>
      </c>
      <c r="F119" s="11">
        <f t="shared" si="11"/>
        <v>2029</v>
      </c>
      <c r="G119" s="11">
        <f t="shared" si="11"/>
        <v>2030</v>
      </c>
      <c r="H119" s="11">
        <f t="shared" si="11"/>
        <v>2031</v>
      </c>
      <c r="I119" s="11">
        <f t="shared" si="11"/>
        <v>2032</v>
      </c>
      <c r="J119" s="11">
        <f t="shared" si="11"/>
        <v>2033</v>
      </c>
      <c r="K119" s="11">
        <f t="shared" si="11"/>
        <v>2034</v>
      </c>
      <c r="L119" s="11">
        <f t="shared" si="11"/>
        <v>2035</v>
      </c>
      <c r="M119" s="11">
        <f t="shared" si="11"/>
        <v>2036</v>
      </c>
      <c r="N119" s="11">
        <f t="shared" si="11"/>
        <v>2037</v>
      </c>
      <c r="O119" s="11">
        <f t="shared" si="11"/>
        <v>2038</v>
      </c>
      <c r="P119" s="11">
        <f t="shared" si="11"/>
        <v>2039</v>
      </c>
      <c r="Q119" s="11">
        <f t="shared" si="11"/>
        <v>2040</v>
      </c>
      <c r="R119" s="11">
        <f t="shared" si="11"/>
        <v>2041</v>
      </c>
      <c r="S119" s="11">
        <f t="shared" si="11"/>
        <v>2042</v>
      </c>
      <c r="T119" s="11">
        <f t="shared" si="11"/>
        <v>2043</v>
      </c>
      <c r="U119" s="11">
        <f t="shared" si="11"/>
        <v>2044</v>
      </c>
      <c r="V119" s="11">
        <f t="shared" si="11"/>
        <v>2045</v>
      </c>
      <c r="W119" s="11">
        <f t="shared" si="11"/>
        <v>2046</v>
      </c>
      <c r="X119" s="11">
        <f t="shared" si="11"/>
        <v>2047</v>
      </c>
      <c r="Y119" s="11">
        <f t="shared" si="11"/>
        <v>2048</v>
      </c>
      <c r="Z119" s="11">
        <f t="shared" si="11"/>
        <v>2049</v>
      </c>
      <c r="AA119" s="11">
        <f t="shared" si="11"/>
        <v>2050</v>
      </c>
      <c r="AB119" s="11">
        <f t="shared" si="11"/>
        <v>2051</v>
      </c>
      <c r="AC119" s="11">
        <f t="shared" si="11"/>
        <v>2052</v>
      </c>
      <c r="AD119" s="11">
        <f t="shared" si="11"/>
        <v>2053</v>
      </c>
      <c r="AE119" s="11">
        <f t="shared" si="11"/>
        <v>2054</v>
      </c>
      <c r="AF119" s="11">
        <f t="shared" si="11"/>
        <v>2055</v>
      </c>
      <c r="AG119" s="11">
        <f t="shared" si="11"/>
        <v>2056</v>
      </c>
      <c r="AH119" s="11">
        <f t="shared" si="11"/>
        <v>2057</v>
      </c>
      <c r="AI119" s="11">
        <f t="shared" si="11"/>
        <v>2058</v>
      </c>
      <c r="AJ119" s="11">
        <f t="shared" si="11"/>
        <v>2059</v>
      </c>
      <c r="AK119" s="11">
        <f t="shared" si="11"/>
        <v>2060</v>
      </c>
      <c r="AL119" s="11">
        <f t="shared" si="11"/>
        <v>2061</v>
      </c>
      <c r="AM119" s="11">
        <f t="shared" si="11"/>
        <v>2062</v>
      </c>
      <c r="AN119" s="11">
        <f t="shared" si="11"/>
        <v>2063</v>
      </c>
      <c r="AO119" s="11">
        <f t="shared" si="11"/>
        <v>2064</v>
      </c>
      <c r="AP119" s="11">
        <f t="shared" si="11"/>
        <v>2065</v>
      </c>
    </row>
    <row r="120" spans="1:108" x14ac:dyDescent="0.25">
      <c r="A120" t="s">
        <v>235</v>
      </c>
      <c r="B120" s="1">
        <v>1</v>
      </c>
      <c r="C120" s="40">
        <f>B120*(1+'Kalkylvärden 1'!$D$9/100)</f>
        <v>1.0349999999999999</v>
      </c>
      <c r="D120" s="40">
        <f>C120*(1+'Kalkylvärden 1'!$D$9/100)</f>
        <v>1.0712249999999999</v>
      </c>
      <c r="E120" s="40">
        <f>D120*(1+'Kalkylvärden 1'!$D$9/100)</f>
        <v>1.1087178749999997</v>
      </c>
      <c r="F120" s="40">
        <f>E120*(1+'Kalkylvärden 1'!$D$9/100)</f>
        <v>1.1475230006249997</v>
      </c>
      <c r="G120" s="40">
        <f>F120*(1+'Kalkylvärden 1'!$D$9/100)</f>
        <v>1.1876863056468745</v>
      </c>
      <c r="H120" s="40">
        <f>G120*(1+'Kalkylvärden 1'!$D$9/100)</f>
        <v>1.229255326344515</v>
      </c>
      <c r="I120" s="40">
        <f>H120*(1+'Kalkylvärden 1'!$D$9/100)</f>
        <v>1.2722792627665729</v>
      </c>
      <c r="J120" s="40">
        <f>I120*(1+'Kalkylvärden 1'!$D$9/100)</f>
        <v>1.3168090369634029</v>
      </c>
      <c r="K120" s="40">
        <f>J120*(1+'Kalkylvärden 1'!$D$9/100)</f>
        <v>1.3628973532571218</v>
      </c>
      <c r="L120" s="40">
        <f>K120*(1+'Kalkylvärden 1'!$D$9/100)</f>
        <v>1.410598760621121</v>
      </c>
      <c r="M120" s="40">
        <f>L120*(1+'Kalkylvärden 1'!$D$9/100)</f>
        <v>1.4599697172428601</v>
      </c>
      <c r="N120" s="40">
        <f>M120*(1+'Kalkylvärden 1'!$D$9/100)</f>
        <v>1.5110686573463601</v>
      </c>
      <c r="O120" s="40">
        <f>N120*(1+'Kalkylvärden 1'!$D$9/100)</f>
        <v>1.5639560603534826</v>
      </c>
      <c r="P120" s="40">
        <f>O120*(1+'Kalkylvärden 1'!$D$9/100)</f>
        <v>1.6186945224658542</v>
      </c>
      <c r="Q120" s="40">
        <f>P120*(1+'Kalkylvärden 1'!$D$9/100)</f>
        <v>1.6753488307521589</v>
      </c>
      <c r="R120" s="40">
        <f>Q120*(1+'Kalkylvärden 1'!$D$9/100)</f>
        <v>1.7339860398284843</v>
      </c>
      <c r="S120" s="40">
        <f>R120*(1+'Kalkylvärden 1'!$D$9/100)</f>
        <v>1.7946755512224812</v>
      </c>
      <c r="T120" s="40">
        <f>S120*(1+'Kalkylvärden 1'!$D$9/100)</f>
        <v>1.8574891955152679</v>
      </c>
      <c r="U120" s="40">
        <f>T120*(1+'Kalkylvärden 1'!$D$9/100)</f>
        <v>1.9225013173583021</v>
      </c>
      <c r="V120" s="40">
        <f>U120*(1+'Kalkylvärden 1'!$D$9/100)</f>
        <v>1.9897888634658425</v>
      </c>
      <c r="W120" s="40">
        <f>V120*(1+'Kalkylvärden 1'!$D$9/100)</f>
        <v>2.0594314736871469</v>
      </c>
      <c r="X120" s="40">
        <f>W120*(1+'Kalkylvärden 1'!$D$9/100)</f>
        <v>2.1315115752661966</v>
      </c>
      <c r="Y120" s="40">
        <f>X120*(1+'Kalkylvärden 1'!$D$9/100)</f>
        <v>2.2061144804005135</v>
      </c>
      <c r="Z120" s="40">
        <f>Y120*(1+'Kalkylvärden 1'!$D$9/100)</f>
        <v>2.2833284872145314</v>
      </c>
      <c r="AA120" s="40">
        <f>Z120*(1+'Kalkylvärden 1'!$D$9/100)</f>
        <v>2.3632449842670398</v>
      </c>
      <c r="AB120" s="40">
        <f>AA120*(1+'Kalkylvärden 1'!$D$9/100)</f>
        <v>2.4459585587163861</v>
      </c>
      <c r="AC120" s="40">
        <f>AB120*(1+'Kalkylvärden 1'!$D$9/100)</f>
        <v>2.5315671082714593</v>
      </c>
      <c r="AD120" s="40">
        <f>AC120*(1+'Kalkylvärden 1'!$D$9/100)</f>
        <v>2.6201719570609603</v>
      </c>
      <c r="AE120" s="40">
        <f>AD120*(1+'Kalkylvärden 1'!$D$9/100)</f>
        <v>2.7118779755580937</v>
      </c>
      <c r="AF120" s="40">
        <f>AE120*(1+'Kalkylvärden 1'!$D$9/100)</f>
        <v>2.8067937047026268</v>
      </c>
      <c r="AG120" s="40">
        <f>AF120*(1+'Kalkylvärden 1'!$D$9/100)</f>
        <v>2.9050314843672185</v>
      </c>
      <c r="AH120" s="40">
        <f>AG120*(1+'Kalkylvärden 1'!$D$9/100)</f>
        <v>3.0067075863200707</v>
      </c>
      <c r="AI120" s="40">
        <f>AH120*(1+'Kalkylvärden 1'!$D$9/100)</f>
        <v>3.111942351841273</v>
      </c>
      <c r="AJ120" s="40">
        <f>AI120*(1+'Kalkylvärden 1'!$D$9/100)</f>
        <v>3.2208603341557174</v>
      </c>
      <c r="AK120" s="40">
        <f>AJ120*(1+'Kalkylvärden 1'!$D$9/100)</f>
        <v>3.3335904458511671</v>
      </c>
      <c r="AL120" s="40">
        <f>AK120*(1+'Kalkylvärden 1'!$D$9/100)</f>
        <v>3.4502661114559579</v>
      </c>
      <c r="AM120" s="40">
        <f>AL120*(1+'Kalkylvärden 1'!$D$9/100)</f>
        <v>3.571025425356916</v>
      </c>
      <c r="AN120" s="40">
        <f>AM120*(1+'Kalkylvärden 1'!$D$9/100)</f>
        <v>3.6960113152444078</v>
      </c>
      <c r="AO120" s="40">
        <f>AN120*(1+'Kalkylvärden 1'!$D$9/100)</f>
        <v>3.8253717112779619</v>
      </c>
      <c r="AP120" s="40">
        <f>AO120*(1+'Kalkylvärden 1'!$D$9/100)</f>
        <v>3.9592597211726903</v>
      </c>
      <c r="AQ120" s="40"/>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1:108" x14ac:dyDescent="0.25">
      <c r="A121" t="s">
        <v>236</v>
      </c>
      <c r="B121" s="1">
        <v>1</v>
      </c>
      <c r="C121" s="40">
        <f>1/C120</f>
        <v>0.96618357487922713</v>
      </c>
      <c r="D121" s="40">
        <f t="shared" ref="D121:AP121" si="12">1/D120</f>
        <v>0.93351070036640305</v>
      </c>
      <c r="E121" s="40">
        <f t="shared" si="12"/>
        <v>0.90194270566802237</v>
      </c>
      <c r="F121" s="40">
        <f t="shared" si="12"/>
        <v>0.87144222769857238</v>
      </c>
      <c r="G121" s="40">
        <f t="shared" si="12"/>
        <v>0.84197316685852419</v>
      </c>
      <c r="H121" s="40">
        <f t="shared" si="12"/>
        <v>0.81350064430775293</v>
      </c>
      <c r="I121" s="40">
        <f t="shared" si="12"/>
        <v>0.78599096068381935</v>
      </c>
      <c r="J121" s="40">
        <f t="shared" si="12"/>
        <v>0.75941155621625056</v>
      </c>
      <c r="K121" s="40">
        <f t="shared" si="12"/>
        <v>0.73373097218961414</v>
      </c>
      <c r="L121" s="40">
        <f t="shared" si="12"/>
        <v>0.70891881370977217</v>
      </c>
      <c r="M121" s="40">
        <f t="shared" si="12"/>
        <v>0.68494571372924862</v>
      </c>
      <c r="N121" s="40">
        <f t="shared" si="12"/>
        <v>0.66178329828912907</v>
      </c>
      <c r="O121" s="40">
        <f t="shared" si="12"/>
        <v>0.63940415293635666</v>
      </c>
      <c r="P121" s="40">
        <f t="shared" si="12"/>
        <v>0.61778179027667324</v>
      </c>
      <c r="Q121" s="40">
        <f t="shared" si="12"/>
        <v>0.59689061862480508</v>
      </c>
      <c r="R121" s="40">
        <f t="shared" si="12"/>
        <v>0.57670591171478758</v>
      </c>
      <c r="S121" s="40">
        <f t="shared" si="12"/>
        <v>0.55720377943457733</v>
      </c>
      <c r="T121" s="40">
        <f t="shared" si="12"/>
        <v>0.53836113955031639</v>
      </c>
      <c r="U121" s="40">
        <f t="shared" si="12"/>
        <v>0.52015569038677911</v>
      </c>
      <c r="V121" s="40">
        <f t="shared" si="12"/>
        <v>0.50256588443167072</v>
      </c>
      <c r="W121" s="40">
        <f t="shared" si="12"/>
        <v>0.48557090283253213</v>
      </c>
      <c r="X121" s="40">
        <f t="shared" si="12"/>
        <v>0.46915063075606978</v>
      </c>
      <c r="Y121" s="40">
        <f t="shared" si="12"/>
        <v>0.45328563358074375</v>
      </c>
      <c r="Z121" s="40">
        <f t="shared" si="12"/>
        <v>0.43795713389443841</v>
      </c>
      <c r="AA121" s="40">
        <f t="shared" si="12"/>
        <v>0.42314698926998884</v>
      </c>
      <c r="AB121" s="40">
        <f t="shared" si="12"/>
        <v>0.40883767079225974</v>
      </c>
      <c r="AC121" s="40">
        <f t="shared" si="12"/>
        <v>0.39501224231136212</v>
      </c>
      <c r="AD121" s="40">
        <f t="shared" si="12"/>
        <v>0.38165434039745133</v>
      </c>
      <c r="AE121" s="40">
        <f t="shared" si="12"/>
        <v>0.36874815497338298</v>
      </c>
      <c r="AF121" s="40">
        <f t="shared" si="12"/>
        <v>0.35627841060230242</v>
      </c>
      <c r="AG121" s="40">
        <f t="shared" si="12"/>
        <v>0.34423034840802169</v>
      </c>
      <c r="AH121" s="40">
        <f t="shared" si="12"/>
        <v>0.33258970860678427</v>
      </c>
      <c r="AI121" s="40">
        <f t="shared" si="12"/>
        <v>0.32134271362974326</v>
      </c>
      <c r="AJ121" s="40">
        <f t="shared" si="12"/>
        <v>0.3104760518161771</v>
      </c>
      <c r="AK121" s="40">
        <f t="shared" si="12"/>
        <v>0.29997686165814214</v>
      </c>
      <c r="AL121" s="40">
        <f t="shared" si="12"/>
        <v>0.28983271657791515</v>
      </c>
      <c r="AM121" s="40">
        <f t="shared" si="12"/>
        <v>0.28003161022020789</v>
      </c>
      <c r="AN121" s="40">
        <f t="shared" si="12"/>
        <v>0.27056194224174679</v>
      </c>
      <c r="AO121" s="40">
        <f t="shared" si="12"/>
        <v>0.26141250458139786</v>
      </c>
      <c r="AP121" s="40">
        <f t="shared" si="12"/>
        <v>0.25257246819458734</v>
      </c>
      <c r="AQ121" s="40"/>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1:108" x14ac:dyDescent="0.25">
      <c r="AI122" s="1"/>
      <c r="AJ122" s="1"/>
      <c r="AK122" s="1"/>
      <c r="AL122" s="1"/>
      <c r="AM122" s="1"/>
    </row>
    <row r="123" spans="1:108" s="11" customFormat="1" x14ac:dyDescent="0.25">
      <c r="A123" s="18" t="s">
        <v>207</v>
      </c>
      <c r="B123" s="22">
        <v>2025</v>
      </c>
      <c r="C123" s="11">
        <f>B123+1</f>
        <v>2026</v>
      </c>
      <c r="D123" s="11">
        <f t="shared" ref="D123:AP123" si="13">C123+1</f>
        <v>2027</v>
      </c>
      <c r="E123" s="11">
        <f t="shared" si="13"/>
        <v>2028</v>
      </c>
      <c r="F123" s="11">
        <f t="shared" si="13"/>
        <v>2029</v>
      </c>
      <c r="G123" s="11">
        <f t="shared" si="13"/>
        <v>2030</v>
      </c>
      <c r="H123" s="11">
        <f t="shared" si="13"/>
        <v>2031</v>
      </c>
      <c r="I123" s="11">
        <f t="shared" si="13"/>
        <v>2032</v>
      </c>
      <c r="J123" s="11">
        <f t="shared" si="13"/>
        <v>2033</v>
      </c>
      <c r="K123" s="11">
        <f t="shared" si="13"/>
        <v>2034</v>
      </c>
      <c r="L123" s="11">
        <f t="shared" si="13"/>
        <v>2035</v>
      </c>
      <c r="M123" s="11">
        <f t="shared" si="13"/>
        <v>2036</v>
      </c>
      <c r="N123" s="11">
        <f t="shared" si="13"/>
        <v>2037</v>
      </c>
      <c r="O123" s="11">
        <f t="shared" si="13"/>
        <v>2038</v>
      </c>
      <c r="P123" s="11">
        <f t="shared" si="13"/>
        <v>2039</v>
      </c>
      <c r="Q123" s="11">
        <f t="shared" si="13"/>
        <v>2040</v>
      </c>
      <c r="R123" s="11">
        <f t="shared" si="13"/>
        <v>2041</v>
      </c>
      <c r="S123" s="11">
        <f t="shared" si="13"/>
        <v>2042</v>
      </c>
      <c r="T123" s="11">
        <f t="shared" si="13"/>
        <v>2043</v>
      </c>
      <c r="U123" s="11">
        <f t="shared" si="13"/>
        <v>2044</v>
      </c>
      <c r="V123" s="11">
        <f t="shared" si="13"/>
        <v>2045</v>
      </c>
      <c r="W123" s="11">
        <f t="shared" si="13"/>
        <v>2046</v>
      </c>
      <c r="X123" s="11">
        <f t="shared" si="13"/>
        <v>2047</v>
      </c>
      <c r="Y123" s="11">
        <f t="shared" si="13"/>
        <v>2048</v>
      </c>
      <c r="Z123" s="11">
        <f t="shared" si="13"/>
        <v>2049</v>
      </c>
      <c r="AA123" s="11">
        <f t="shared" si="13"/>
        <v>2050</v>
      </c>
      <c r="AB123" s="11">
        <f t="shared" si="13"/>
        <v>2051</v>
      </c>
      <c r="AC123" s="11">
        <f t="shared" si="13"/>
        <v>2052</v>
      </c>
      <c r="AD123" s="11">
        <f t="shared" si="13"/>
        <v>2053</v>
      </c>
      <c r="AE123" s="11">
        <f t="shared" si="13"/>
        <v>2054</v>
      </c>
      <c r="AF123" s="11">
        <f t="shared" si="13"/>
        <v>2055</v>
      </c>
      <c r="AG123" s="11">
        <f t="shared" si="13"/>
        <v>2056</v>
      </c>
      <c r="AH123" s="11">
        <f t="shared" si="13"/>
        <v>2057</v>
      </c>
      <c r="AI123" s="11">
        <f t="shared" si="13"/>
        <v>2058</v>
      </c>
      <c r="AJ123" s="11">
        <f t="shared" si="13"/>
        <v>2059</v>
      </c>
      <c r="AK123" s="11">
        <f t="shared" si="13"/>
        <v>2060</v>
      </c>
      <c r="AL123" s="11">
        <f t="shared" si="13"/>
        <v>2061</v>
      </c>
      <c r="AM123" s="11">
        <f t="shared" si="13"/>
        <v>2062</v>
      </c>
      <c r="AN123" s="11">
        <f t="shared" si="13"/>
        <v>2063</v>
      </c>
      <c r="AO123" s="11">
        <f t="shared" si="13"/>
        <v>2064</v>
      </c>
      <c r="AP123" s="11">
        <f t="shared" si="13"/>
        <v>2065</v>
      </c>
    </row>
    <row r="125" spans="1:108" x14ac:dyDescent="0.25">
      <c r="A125" s="192" t="s">
        <v>504</v>
      </c>
    </row>
    <row r="126" spans="1:108" s="203" customFormat="1" x14ac:dyDescent="0.25">
      <c r="A126" s="202" t="s">
        <v>505</v>
      </c>
      <c r="B126" s="614">
        <f>IF(Diskontering!B16&lt;=Diskontering!$A$5,(SUM($X$46:$AE$46))/1000000*Diskontering!B25,0)</f>
        <v>-4.4210391041666658E-2</v>
      </c>
      <c r="C126" s="203">
        <f>IF(Diskontering!C16&lt;=Diskontering!$A$5,(SUM($X$46:$AE$46))/1000000*Diskontering!C25,0)</f>
        <v>-4.3142507200080511E-2</v>
      </c>
      <c r="D126" s="203">
        <f>IF(Diskontering!D16&lt;=Diskontering!$A$5,(SUM($X$46:$AE$46))/1000000*Diskontering!D25,0)</f>
        <v>-4.2100417654184846E-2</v>
      </c>
      <c r="E126" s="203">
        <f>IF(Diskontering!E16&lt;=Diskontering!$A$5,(SUM($X$46:$AE$46))/1000000*Diskontering!E25,0)</f>
        <v>-4.1083499353359129E-2</v>
      </c>
      <c r="F126" s="203">
        <f>IF(Diskontering!F16&lt;=Diskontering!$A$5,(SUM($X$46:$AE$46))/1000000*Diskontering!F25,0)</f>
        <v>-4.0091144296514711E-2</v>
      </c>
      <c r="G126" s="203">
        <f>IF(Diskontering!G16&lt;=Diskontering!$A$5,(SUM($X$46:$AE$46))/1000000*Diskontering!G25,0)</f>
        <v>-3.9122759168579581E-2</v>
      </c>
      <c r="H126" s="203">
        <f>IF(Diskontering!H16&lt;=Diskontering!$A$5,(SUM($X$46:$AE$46))/1000000*Diskontering!H25,0)</f>
        <v>-3.8177764985763647E-2</v>
      </c>
      <c r="I126" s="203">
        <f>IF(Diskontering!I16&lt;=Diskontering!$A$5,(SUM($X$46:$AE$46))/1000000*Diskontering!I25,0)</f>
        <v>-3.725559674939255E-2</v>
      </c>
      <c r="J126" s="203">
        <f>IF(Diskontering!J16&lt;=Diskontering!$A$5,(SUM($X$46:$AE$46))/1000000*Diskontering!J25,0)</f>
        <v>-3.635570310810287E-2</v>
      </c>
      <c r="K126" s="203">
        <f>IF(Diskontering!K16&lt;=Diskontering!$A$5,(SUM($X$46:$AE$46))/1000000*Diskontering!K25,0)</f>
        <v>-3.5477546028197013E-2</v>
      </c>
      <c r="L126" s="203">
        <f>IF(Diskontering!L16&lt;=Diskontering!$A$5,(SUM($X$46:$AE$46))/1000000*Diskontering!L25,0)</f>
        <v>-3.4620600471960375E-2</v>
      </c>
      <c r="M126" s="203">
        <f>IF(Diskontering!M16&lt;=Diskontering!$A$5,(SUM($X$46:$AE$46))/1000000*Diskontering!M25,0)</f>
        <v>-3.3784354083748781E-2</v>
      </c>
      <c r="N126" s="203">
        <f>IF(Diskontering!N16&lt;=Diskontering!$A$5,(SUM($X$46:$AE$46))/1000000*Diskontering!N25,0)</f>
        <v>-3.2968306883658226E-2</v>
      </c>
      <c r="O126" s="203">
        <f>IF(Diskontering!O16&lt;=Diskontering!$A$5,(SUM($X$46:$AE$46))/1000000*Diskontering!O25,0)</f>
        <v>-3.2171970968594026E-2</v>
      </c>
      <c r="P126" s="203">
        <f>IF(Diskontering!P16&lt;=Diskontering!$A$5,(SUM($X$46:$AE$46))/1000000*Diskontering!P25,0)</f>
        <v>-3.1394870220560353E-2</v>
      </c>
      <c r="Q126" s="203">
        <f>IF(Diskontering!Q16&lt;=Diskontering!$A$5,(SUM($X$46:$AE$46))/1000000*Diskontering!Q25,0)</f>
        <v>-3.06365400219961E-2</v>
      </c>
      <c r="R126" s="203">
        <f>IF(Diskontering!R16&lt;=Diskontering!$A$5,(SUM($X$46:$AE$46))/1000000*Diskontering!R25,0)</f>
        <v>-2.9896526977986535E-2</v>
      </c>
      <c r="S126" s="203">
        <f>IF(Diskontering!S16&lt;=Diskontering!$A$5,(SUM($X$46:$AE$46))/1000000*Diskontering!S25,0)</f>
        <v>-2.9174388645184922E-2</v>
      </c>
      <c r="T126" s="203">
        <f>IF(Diskontering!T16&lt;=Diskontering!$A$5,(SUM($X$46:$AE$46))/1000000*Diskontering!T25,0)</f>
        <v>-2.8469693267281916E-2</v>
      </c>
      <c r="U126" s="203">
        <f>IF(Diskontering!U16&lt;=Diskontering!$A$5,(SUM($X$46:$AE$46))/1000000*Diskontering!U25,0)</f>
        <v>-2.778201951686448E-2</v>
      </c>
      <c r="V126" s="203">
        <f>IF(Diskontering!V16&lt;=Diskontering!$A$5,(SUM($X$46:$AE$46))/1000000*Diskontering!V25,0)</f>
        <v>-2.711095624351027E-2</v>
      </c>
      <c r="W126" s="203">
        <f>IF(Diskontering!W16&lt;=Diskontering!$A$5,(SUM($X$46:$AE$46))/1000000*Diskontering!W25,0)</f>
        <v>-2.6456102227966544E-2</v>
      </c>
      <c r="X126" s="203">
        <f>IF(Diskontering!X16&lt;=Diskontering!$A$5,(SUM($X$46:$AE$46))/1000000*Diskontering!X25,0)</f>
        <v>-2.5817065942266876E-2</v>
      </c>
      <c r="Y126" s="203">
        <f>IF(Diskontering!Y16&lt;=Diskontering!$A$5,(SUM($X$46:$AE$46))/1000000*Diskontering!Y25,0)</f>
        <v>-2.5193465315642073E-2</v>
      </c>
      <c r="Z126" s="203">
        <f>IF(Diskontering!Z16&lt;=Diskontering!$A$5,(SUM($X$46:$AE$46))/1000000*Diskontering!Z25,0)</f>
        <v>-2.4584927506085506E-2</v>
      </c>
      <c r="AA126" s="203">
        <f>IF(Diskontering!AA16&lt;=Diskontering!$A$5,(SUM($X$46:$AE$46))/1000000*Diskontering!AA25,0)</f>
        <v>-2.3991088677436097E-2</v>
      </c>
      <c r="AB126" s="203">
        <f>IF(Diskontering!AB16&lt;=Diskontering!$A$5,(SUM($X$46:$AE$46))/1000000*Diskontering!AB25,0)</f>
        <v>-2.3411593781845853E-2</v>
      </c>
      <c r="AC126" s="203">
        <f>IF(Diskontering!AC16&lt;=Diskontering!$A$5,(SUM($X$46:$AE$46))/1000000*Diskontering!AC25,0)</f>
        <v>-2.2846096347501749E-2</v>
      </c>
      <c r="AD126" s="203">
        <f>IF(Diskontering!AD16&lt;=Diskontering!$A$5,(SUM($X$46:$AE$46))/1000000*Diskontering!AD25,0)</f>
        <v>-2.2294258271475142E-2</v>
      </c>
      <c r="AE126" s="203">
        <f>IF(Diskontering!AE16&lt;=Diskontering!$A$5,(SUM($X$46:$AE$46))/1000000*Diskontering!AE25,0)</f>
        <v>-2.1755749617574781E-2</v>
      </c>
      <c r="AF126" s="203">
        <f>IF(Diskontering!AF16&lt;=Diskontering!$A$5,(SUM($X$46:$AE$46))/1000000*Diskontering!AF25,0)</f>
        <v>-2.123024841908264E-2</v>
      </c>
      <c r="AG126" s="203">
        <f>IF(Diskontering!AG16&lt;=Diskontering!$A$5,(SUM($X$46:$AE$46))/1000000*Diskontering!AG25,0)</f>
        <v>-2.0717440486254558E-2</v>
      </c>
      <c r="AH126" s="203">
        <f>IF(Diskontering!AH16&lt;=Diskontering!$A$5,(SUM($X$46:$AE$46))/1000000*Diskontering!AH25,0)</f>
        <v>-2.0217019218470633E-2</v>
      </c>
      <c r="AI126" s="203">
        <f>IF(Diskontering!AI16&lt;=Diskontering!$A$5,(SUM($X$46:$AE$46))/1000000*Diskontering!AI25,0)</f>
        <v>-1.9728685420923035E-2</v>
      </c>
      <c r="AJ126" s="203">
        <f>IF(Diskontering!AJ16&lt;=Diskontering!$A$5,(SUM($X$46:$AE$46))/1000000*Diskontering!AJ25,0)</f>
        <v>-1.9252147125731662E-2</v>
      </c>
      <c r="AK126" s="203">
        <f>IF(Diskontering!AK16&lt;=Diskontering!$A$5,(SUM($X$46:$AE$46))/1000000*Diskontering!AK25,0)</f>
        <v>-1.8787119417380652E-2</v>
      </c>
      <c r="AL126" s="203">
        <f>IF(Diskontering!AL16&lt;=Diskontering!$A$5,(SUM($X$46:$AE$46))/1000000*Diskontering!AL25,0)</f>
        <v>-1.8333324262371459E-2</v>
      </c>
      <c r="AM126" s="203">
        <f>IF(Diskontering!AM16&lt;=Diskontering!$A$5,(SUM($X$46:$AE$46))/1000000*Diskontering!AM25,0)</f>
        <v>-1.7890490342990509E-2</v>
      </c>
      <c r="AN126" s="203">
        <f>IF(Diskontering!AN16&lt;=Diskontering!$A$5,(SUM($X$46:$AE$46))/1000000*Diskontering!AN25,0)</f>
        <v>-1.7458352895092191E-2</v>
      </c>
      <c r="AO126" s="203">
        <f>IF(Diskontering!AO16&lt;=Diskontering!$A$5,(SUM($X$46:$AE$46))/1000000*Diskontering!AO25,0)</f>
        <v>-1.7036653549800111E-2</v>
      </c>
      <c r="AP126" s="203">
        <f>IF(Diskontering!AP16&lt;=Diskontering!$A$5,(SUM($X$46:$AE$46))/1000000*Diskontering!AP25,0)</f>
        <v>-1.6625140179031994E-2</v>
      </c>
    </row>
    <row r="127" spans="1:108" s="203" customFormat="1" x14ac:dyDescent="0.25">
      <c r="A127" s="202" t="s">
        <v>506</v>
      </c>
      <c r="B127" s="203">
        <f>IF(Diskontering!B16&lt;=Diskontering!$A$5,(SUM($AH$46:$AO$46))/1000000*Diskontering!B25,0)</f>
        <v>-8.1278384671874995E-2</v>
      </c>
      <c r="C127" s="203">
        <f>IF(Diskontering!C16&lt;=Diskontering!$A$5,(SUM($AH$46:$AO$46))/1000000*Diskontering!C25,0)</f>
        <v>-7.9315138665307983E-2</v>
      </c>
      <c r="D127" s="203">
        <f>IF(Diskontering!D16&lt;=Diskontering!$A$5,(SUM($AH$46:$AO$46))/1000000*Diskontering!D25,0)</f>
        <v>-7.7399314059865748E-2</v>
      </c>
      <c r="E127" s="203">
        <f>IF(Diskontering!E16&lt;=Diskontering!$A$5,(SUM($AH$46:$AO$46))/1000000*Diskontering!E25,0)</f>
        <v>-7.5529765411076727E-2</v>
      </c>
      <c r="F127" s="203">
        <f>IF(Diskontering!F16&lt;=Diskontering!$A$5,(SUM($AH$46:$AO$46))/1000000*Diskontering!F25,0)</f>
        <v>-7.3705374942210147E-2</v>
      </c>
      <c r="G127" s="203">
        <f>IF(Diskontering!G16&lt;=Diskontering!$A$5,(SUM($AH$46:$AO$46))/1000000*Diskontering!G25,0)</f>
        <v>-7.19250518759732E-2</v>
      </c>
      <c r="H127" s="203">
        <f>IF(Diskontering!H16&lt;=Diskontering!$A$5,(SUM($AH$46:$AO$46))/1000000*Diskontering!H25,0)</f>
        <v>-7.018773178235066E-2</v>
      </c>
      <c r="I127" s="203">
        <f>IF(Diskontering!I16&lt;=Diskontering!$A$5,(SUM($AH$46:$AO$46))/1000000*Diskontering!I25,0)</f>
        <v>-6.8492375942197273E-2</v>
      </c>
      <c r="J127" s="203">
        <f>IF(Diskontering!J16&lt;=Diskontering!$A$5,(SUM($AH$46:$AO$46))/1000000*Diskontering!J25,0)</f>
        <v>-6.6837970726202164E-2</v>
      </c>
      <c r="K127" s="203">
        <f>IF(Diskontering!K16&lt;=Diskontering!$A$5,(SUM($AH$46:$AO$46))/1000000*Diskontering!K25,0)</f>
        <v>-6.5223526988854294E-2</v>
      </c>
      <c r="L127" s="203">
        <f>IF(Diskontering!L16&lt;=Diskontering!$A$5,(SUM($AH$46:$AO$46))/1000000*Diskontering!L25,0)</f>
        <v>-6.3648079477046232E-2</v>
      </c>
      <c r="M127" s="203">
        <f>IF(Diskontering!M16&lt;=Diskontering!$A$5,(SUM($AH$46:$AO$46))/1000000*Diskontering!M25,0)</f>
        <v>-6.2110686252963003E-2</v>
      </c>
      <c r="N127" s="203">
        <f>IF(Diskontering!N16&lt;=Diskontering!$A$5,(SUM($AH$46:$AO$46))/1000000*Diskontering!N25,0)</f>
        <v>-6.0610428130910762E-2</v>
      </c>
      <c r="O127" s="203">
        <f>IF(Diskontering!O16&lt;=Diskontering!$A$5,(SUM($AH$46:$AO$46))/1000000*Diskontering!O25,0)</f>
        <v>-5.914640812774867E-2</v>
      </c>
      <c r="P127" s="203">
        <f>IF(Diskontering!P16&lt;=Diskontering!$A$5,(SUM($AH$46:$AO$46))/1000000*Diskontering!P25,0)</f>
        <v>-5.7717750926595326E-2</v>
      </c>
      <c r="Q127" s="203">
        <f>IF(Diskontering!Q16&lt;=Diskontering!$A$5,(SUM($AH$46:$AO$46))/1000000*Diskontering!Q25,0)</f>
        <v>-5.6323602353489169E-2</v>
      </c>
      <c r="R127" s="203">
        <f>IF(Diskontering!R16&lt;=Diskontering!$A$5,(SUM($AH$46:$AO$46))/1000000*Diskontering!R25,0)</f>
        <v>-5.4963128866689921E-2</v>
      </c>
      <c r="S127" s="203">
        <f>IF(Diskontering!S16&lt;=Diskontering!$A$5,(SUM($AH$46:$AO$46))/1000000*Diskontering!S25,0)</f>
        <v>-5.3635517058315756E-2</v>
      </c>
      <c r="T127" s="203">
        <f>IF(Diskontering!T16&lt;=Diskontering!$A$5,(SUM($AH$46:$AO$46))/1000000*Diskontering!T25,0)</f>
        <v>-5.2339973168018292E-2</v>
      </c>
      <c r="U127" s="203">
        <f>IF(Diskontering!U16&lt;=Diskontering!$A$5,(SUM($AH$46:$AO$46))/1000000*Diskontering!U25,0)</f>
        <v>-5.1075722608404324E-2</v>
      </c>
      <c r="V127" s="203">
        <f>IF(Diskontering!V16&lt;=Diskontering!$A$5,(SUM($AH$46:$AO$46))/1000000*Diskontering!V25,0)</f>
        <v>-4.9842009501921143E-2</v>
      </c>
      <c r="W127" s="203">
        <f>IF(Diskontering!W16&lt;=Diskontering!$A$5,(SUM($AH$46:$AO$46))/1000000*Diskontering!W25,0)</f>
        <v>-4.8638096228927875E-2</v>
      </c>
      <c r="X127" s="203">
        <f>IF(Diskontering!X16&lt;=Diskontering!$A$5,(SUM($AH$46:$AO$46))/1000000*Diskontering!X25,0)</f>
        <v>-4.7463262986683255E-2</v>
      </c>
      <c r="Y127" s="203">
        <f>IF(Diskontering!Y16&lt;=Diskontering!$A$5,(SUM($AH$46:$AO$46))/1000000*Diskontering!Y25,0)</f>
        <v>-4.6316807358985593E-2</v>
      </c>
      <c r="Z127" s="203">
        <f>IF(Diskontering!Z16&lt;=Diskontering!$A$5,(SUM($AH$46:$AO$46))/1000000*Diskontering!Z25,0)</f>
        <v>-4.519804389620817E-2</v>
      </c>
      <c r="AA127" s="203">
        <f>IF(Diskontering!AA16&lt;=Diskontering!$A$5,(SUM($AH$46:$AO$46))/1000000*Diskontering!AA25,0)</f>
        <v>-4.4106303705478508E-2</v>
      </c>
      <c r="AB127" s="203">
        <f>IF(Diskontering!AB16&lt;=Diskontering!$A$5,(SUM($AH$46:$AO$46))/1000000*Diskontering!AB25,0)</f>
        <v>-4.3040934050756804E-2</v>
      </c>
      <c r="AC127" s="203">
        <f>IF(Diskontering!AC16&lt;=Diskontering!$A$5,(SUM($AH$46:$AO$46))/1000000*Diskontering!AC25,0)</f>
        <v>-4.200129796257427E-2</v>
      </c>
      <c r="AD127" s="203">
        <f>IF(Diskontering!AD16&lt;=Diskontering!$A$5,(SUM($AH$46:$AO$46))/1000000*Diskontering!AD25,0)</f>
        <v>-4.0986773857198087E-2</v>
      </c>
      <c r="AE127" s="203">
        <f>IF(Diskontering!AE16&lt;=Diskontering!$A$5,(SUM($AH$46:$AO$46))/1000000*Diskontering!AE25,0)</f>
        <v>-3.9996755164995242E-2</v>
      </c>
      <c r="AF127" s="203">
        <f>IF(Diskontering!AF16&lt;=Diskontering!$A$5,(SUM($AH$46:$AO$46))/1000000*Diskontering!AF25,0)</f>
        <v>-3.903064996777314E-2</v>
      </c>
      <c r="AG127" s="203">
        <f>IF(Diskontering!AG16&lt;=Diskontering!$A$5,(SUM($AH$46:$AO$46))/1000000*Diskontering!AG25,0)</f>
        <v>-3.8087880644880071E-2</v>
      </c>
      <c r="AH127" s="203">
        <f>IF(Diskontering!AH16&lt;=Diskontering!$A$5,(SUM($AH$46:$AO$46))/1000000*Diskontering!AH25,0)</f>
        <v>-3.7167883527853988E-2</v>
      </c>
      <c r="AI127" s="203">
        <f>IF(Diskontering!AI16&lt;=Diskontering!$A$5,(SUM($AH$46:$AO$46))/1000000*Diskontering!AI25,0)</f>
        <v>-3.6270108563413075E-2</v>
      </c>
      <c r="AJ127" s="203">
        <f>IF(Diskontering!AJ16&lt;=Diskontering!$A$5,(SUM($AH$46:$AO$46))/1000000*Diskontering!AJ25,0)</f>
        <v>-3.5394018984586675E-2</v>
      </c>
      <c r="AK127" s="203">
        <f>IF(Diskontering!AK16&lt;=Diskontering!$A$5,(SUM($AH$46:$AO$46))/1000000*Diskontering!AK25,0)</f>
        <v>-3.4539090989789897E-2</v>
      </c>
      <c r="AL127" s="203">
        <f>IF(Diskontering!AL16&lt;=Diskontering!$A$5,(SUM($AH$46:$AO$46))/1000000*Diskontering!AL25,0)</f>
        <v>-3.3704813429650045E-2</v>
      </c>
      <c r="AM127" s="203">
        <f>IF(Diskontering!AM16&lt;=Diskontering!$A$5,(SUM($AH$46:$AO$46))/1000000*Diskontering!AM25,0)</f>
        <v>-3.2890687501397634E-2</v>
      </c>
      <c r="AN127" s="203">
        <f>IF(Diskontering!AN16&lt;=Diskontering!$A$5,(SUM($AH$46:$AO$46))/1000000*Diskontering!AN25,0)</f>
        <v>-3.209622645063924E-2</v>
      </c>
      <c r="AO127" s="203">
        <f>IF(Diskontering!AO16&lt;=Diskontering!$A$5,(SUM($AH$46:$AO$46))/1000000*Diskontering!AO25,0)</f>
        <v>-3.1320955280333948E-2</v>
      </c>
      <c r="AP127" s="203">
        <f>IF(Diskontering!AP16&lt;=Diskontering!$A$5,(SUM($AH$46:$AO$46))/1000000*Diskontering!AP25,0)</f>
        <v>-3.0564410466799315E-2</v>
      </c>
    </row>
    <row r="128" spans="1:108" s="203" customFormat="1" x14ac:dyDescent="0.25">
      <c r="A128" s="202" t="s">
        <v>52</v>
      </c>
      <c r="B128" s="203">
        <f>IF(Diskontering!B16&lt;=Diskontering!$A$5,($AS$41/1000000*Diskontering!B25),0)</f>
        <v>0</v>
      </c>
      <c r="C128" s="203">
        <f>IF(Diskontering!C16&lt;=Diskontering!$A$5,($AS$41/1000000*Diskontering!C25),0)</f>
        <v>0</v>
      </c>
      <c r="D128" s="203">
        <f>IF(Diskontering!D16&lt;=Diskontering!$A$5,($AS$41/1000000*Diskontering!D25),0)</f>
        <v>0</v>
      </c>
      <c r="E128" s="203">
        <f>IF(Diskontering!E16&lt;=Diskontering!$A$5,($AS$41/1000000*Diskontering!E25),0)</f>
        <v>0</v>
      </c>
      <c r="F128" s="203">
        <f>IF(Diskontering!F16&lt;=Diskontering!$A$5,($AS$41/1000000*Diskontering!F25),0)</f>
        <v>0</v>
      </c>
      <c r="G128" s="203">
        <f>IF(Diskontering!G16&lt;=Diskontering!$A$5,($AS$41/1000000*Diskontering!G25),0)</f>
        <v>0</v>
      </c>
      <c r="H128" s="203">
        <f>IF(Diskontering!H16&lt;=Diskontering!$A$5,($AS$41/1000000*Diskontering!H25),0)</f>
        <v>0</v>
      </c>
      <c r="I128" s="203">
        <f>IF(Diskontering!I16&lt;=Diskontering!$A$5,($AS$41/1000000*Diskontering!I25),0)</f>
        <v>0</v>
      </c>
      <c r="J128" s="203">
        <f>IF(Diskontering!J16&lt;=Diskontering!$A$5,($AS$41/1000000*Diskontering!J25),0)</f>
        <v>0</v>
      </c>
      <c r="K128" s="203">
        <f>IF(Diskontering!K16&lt;=Diskontering!$A$5,($AS$41/1000000*Diskontering!K25),0)</f>
        <v>0</v>
      </c>
      <c r="L128" s="203">
        <f>IF(Diskontering!L16&lt;=Diskontering!$A$5,($AS$41/1000000*Diskontering!L25),0)</f>
        <v>0</v>
      </c>
      <c r="M128" s="203">
        <f>IF(Diskontering!M16&lt;=Diskontering!$A$5,($AS$41/1000000*Diskontering!M25),0)</f>
        <v>0</v>
      </c>
      <c r="N128" s="203">
        <f>IF(Diskontering!N16&lt;=Diskontering!$A$5,($AS$41/1000000*Diskontering!N25),0)</f>
        <v>0</v>
      </c>
      <c r="O128" s="203">
        <f>IF(Diskontering!O16&lt;=Diskontering!$A$5,($AS$41/1000000*Diskontering!O25),0)</f>
        <v>0</v>
      </c>
      <c r="P128" s="203">
        <f>IF(Diskontering!P16&lt;=Diskontering!$A$5,($AS$41/1000000*Diskontering!P25),0)</f>
        <v>0</v>
      </c>
      <c r="Q128" s="203">
        <f>IF(Diskontering!Q16&lt;=Diskontering!$A$5,($AS$41/1000000*Diskontering!Q25),0)</f>
        <v>0</v>
      </c>
      <c r="R128" s="203">
        <f>IF(Diskontering!R16&lt;=Diskontering!$A$5,($AS$41/1000000*Diskontering!R25),0)</f>
        <v>0</v>
      </c>
      <c r="S128" s="203">
        <f>IF(Diskontering!S16&lt;=Diskontering!$A$5,($AS$41/1000000*Diskontering!S25),0)</f>
        <v>0</v>
      </c>
      <c r="T128" s="203">
        <f>IF(Diskontering!T16&lt;=Diskontering!$A$5,($AS$41/1000000*Diskontering!T25),0)</f>
        <v>0</v>
      </c>
      <c r="U128" s="203">
        <f>IF(Diskontering!U16&lt;=Diskontering!$A$5,($AS$41/1000000*Diskontering!U25),0)</f>
        <v>0</v>
      </c>
      <c r="V128" s="203">
        <f>IF(Diskontering!V16&lt;=Diskontering!$A$5,($AS$41/1000000*Diskontering!V25),0)</f>
        <v>0</v>
      </c>
      <c r="W128" s="203">
        <f>IF(Diskontering!W16&lt;=Diskontering!$A$5,($AS$41/1000000*Diskontering!W25),0)</f>
        <v>0</v>
      </c>
      <c r="X128" s="203">
        <f>IF(Diskontering!X16&lt;=Diskontering!$A$5,($AS$41/1000000*Diskontering!X25),0)</f>
        <v>0</v>
      </c>
      <c r="Y128" s="203">
        <f>IF(Diskontering!Y16&lt;=Diskontering!$A$5,($AS$41/1000000*Diskontering!Y25),0)</f>
        <v>0</v>
      </c>
      <c r="Z128" s="203">
        <f>IF(Diskontering!Z16&lt;=Diskontering!$A$5,($AS$41/1000000*Diskontering!Z25),0)</f>
        <v>0</v>
      </c>
      <c r="AA128" s="203">
        <f>IF(Diskontering!AA16&lt;=Diskontering!$A$5,($AS$41/1000000*Diskontering!AA25),0)</f>
        <v>0</v>
      </c>
      <c r="AB128" s="203">
        <f>IF(Diskontering!AB16&lt;=Diskontering!$A$5,($AS$41/1000000*Diskontering!AB25),0)</f>
        <v>0</v>
      </c>
      <c r="AC128" s="203">
        <f>IF(Diskontering!AC16&lt;=Diskontering!$A$5,($AS$41/1000000*Diskontering!AC25),0)</f>
        <v>0</v>
      </c>
      <c r="AD128" s="203">
        <f>IF(Diskontering!AD16&lt;=Diskontering!$A$5,($AS$41/1000000*Diskontering!AD25),0)</f>
        <v>0</v>
      </c>
      <c r="AE128" s="203">
        <f>IF(Diskontering!AE16&lt;=Diskontering!$A$5,($AS$41/1000000*Diskontering!AE25),0)</f>
        <v>0</v>
      </c>
      <c r="AF128" s="203">
        <f>IF(Diskontering!AF16&lt;=Diskontering!$A$5,($AS$41/1000000*Diskontering!AF25),0)</f>
        <v>0</v>
      </c>
      <c r="AG128" s="203">
        <f>IF(Diskontering!AG16&lt;=Diskontering!$A$5,($AS$41/1000000*Diskontering!AG25),0)</f>
        <v>0</v>
      </c>
      <c r="AH128" s="203">
        <f>IF(Diskontering!AH16&lt;=Diskontering!$A$5,($AS$41/1000000*Diskontering!AH25),0)</f>
        <v>0</v>
      </c>
      <c r="AI128" s="203">
        <f>IF(Diskontering!AI16&lt;=Diskontering!$A$5,($AS$41/1000000*Diskontering!AI25),0)</f>
        <v>0</v>
      </c>
      <c r="AJ128" s="203">
        <f>IF(Diskontering!AJ16&lt;=Diskontering!$A$5,($AS$41/1000000*Diskontering!AJ25),0)</f>
        <v>0</v>
      </c>
      <c r="AK128" s="203">
        <f>IF(Diskontering!AK16&lt;=Diskontering!$A$5,($AS$41/1000000*Diskontering!AK25),0)</f>
        <v>0</v>
      </c>
      <c r="AL128" s="203">
        <f>IF(Diskontering!AL16&lt;=Diskontering!$A$5,($AS$41/1000000*Diskontering!AL25),0)</f>
        <v>0</v>
      </c>
      <c r="AM128" s="203">
        <f>IF(Diskontering!AM16&lt;=Diskontering!$A$5,($AS$41/1000000*Diskontering!AM25),0)</f>
        <v>0</v>
      </c>
      <c r="AN128" s="203">
        <f>IF(Diskontering!AN16&lt;=Diskontering!$A$5,($AS$41/1000000*Diskontering!AN25),0)</f>
        <v>0</v>
      </c>
      <c r="AO128" s="203">
        <f>IF(Diskontering!AO16&lt;=Diskontering!$A$5,($AS$41/1000000*Diskontering!AO25),0)</f>
        <v>0</v>
      </c>
      <c r="AP128" s="203">
        <f>IF(Diskontering!AP16&lt;=Diskontering!$A$5,($AS$41/1000000*Diskontering!AP25),0)</f>
        <v>0</v>
      </c>
    </row>
    <row r="129" spans="1:42" s="205" customFormat="1" x14ac:dyDescent="0.25">
      <c r="A129" s="204" t="s">
        <v>507</v>
      </c>
      <c r="B129" s="615">
        <f>SUM(B126:B128)</f>
        <v>-0.12548877571354167</v>
      </c>
      <c r="C129" s="205">
        <f t="shared" ref="C129:AP129" si="14">SUM(C126:C128)</f>
        <v>-0.12245764586538849</v>
      </c>
      <c r="D129" s="205">
        <f t="shared" si="14"/>
        <v>-0.11949973171405059</v>
      </c>
      <c r="E129" s="205">
        <f t="shared" si="14"/>
        <v>-0.11661326476443586</v>
      </c>
      <c r="F129" s="205">
        <f t="shared" si="14"/>
        <v>-0.11379651923872486</v>
      </c>
      <c r="G129" s="205">
        <f t="shared" si="14"/>
        <v>-0.11104781104455277</v>
      </c>
      <c r="H129" s="205">
        <f t="shared" si="14"/>
        <v>-0.1083654967681143</v>
      </c>
      <c r="I129" s="205">
        <f t="shared" si="14"/>
        <v>-0.10574797269158982</v>
      </c>
      <c r="J129" s="205">
        <f t="shared" si="14"/>
        <v>-0.10319367383430503</v>
      </c>
      <c r="K129" s="205">
        <f t="shared" si="14"/>
        <v>-0.10070107301705131</v>
      </c>
      <c r="L129" s="205">
        <f t="shared" si="14"/>
        <v>-9.8268679949006607E-2</v>
      </c>
      <c r="M129" s="205">
        <f t="shared" si="14"/>
        <v>-9.5895040336711784E-2</v>
      </c>
      <c r="N129" s="205">
        <f t="shared" si="14"/>
        <v>-9.3578735014568981E-2</v>
      </c>
      <c r="O129" s="205">
        <f t="shared" si="14"/>
        <v>-9.1318379096342689E-2</v>
      </c>
      <c r="P129" s="205">
        <f t="shared" si="14"/>
        <v>-8.911262114715568E-2</v>
      </c>
      <c r="Q129" s="205">
        <f t="shared" si="14"/>
        <v>-8.6960142375485272E-2</v>
      </c>
      <c r="R129" s="205">
        <f t="shared" si="14"/>
        <v>-8.485965584467646E-2</v>
      </c>
      <c r="S129" s="205">
        <f t="shared" si="14"/>
        <v>-8.2809905703500677E-2</v>
      </c>
      <c r="T129" s="205">
        <f t="shared" si="14"/>
        <v>-8.0809666435300215E-2</v>
      </c>
      <c r="U129" s="205">
        <f t="shared" si="14"/>
        <v>-7.8857742125268804E-2</v>
      </c>
      <c r="V129" s="205">
        <f t="shared" si="14"/>
        <v>-7.6952965745431409E-2</v>
      </c>
      <c r="W129" s="205">
        <f t="shared" si="14"/>
        <v>-7.5094198456894412E-2</v>
      </c>
      <c r="X129" s="205">
        <f t="shared" si="14"/>
        <v>-7.3280328928950131E-2</v>
      </c>
      <c r="Y129" s="205">
        <f t="shared" si="14"/>
        <v>-7.1510272674627673E-2</v>
      </c>
      <c r="Z129" s="205">
        <f t="shared" si="14"/>
        <v>-6.978297140229367E-2</v>
      </c>
      <c r="AA129" s="205">
        <f t="shared" si="14"/>
        <v>-6.8097392382914609E-2</v>
      </c>
      <c r="AB129" s="205">
        <f t="shared" si="14"/>
        <v>-6.6452527832602665E-2</v>
      </c>
      <c r="AC129" s="205">
        <f t="shared" si="14"/>
        <v>-6.4847394310076023E-2</v>
      </c>
      <c r="AD129" s="205">
        <f t="shared" si="14"/>
        <v>-6.3281032128673226E-2</v>
      </c>
      <c r="AE129" s="205">
        <f t="shared" si="14"/>
        <v>-6.1752504782570022E-2</v>
      </c>
      <c r="AF129" s="205">
        <f t="shared" si="14"/>
        <v>-6.0260898386855777E-2</v>
      </c>
      <c r="AG129" s="205">
        <f t="shared" si="14"/>
        <v>-5.8805321131134625E-2</v>
      </c>
      <c r="AH129" s="205">
        <f t="shared" si="14"/>
        <v>-5.7384902746324622E-2</v>
      </c>
      <c r="AI129" s="205">
        <f t="shared" si="14"/>
        <v>-5.5998793984336111E-2</v>
      </c>
      <c r="AJ129" s="205">
        <f t="shared" si="14"/>
        <v>-5.4646166110318334E-2</v>
      </c>
      <c r="AK129" s="205">
        <f t="shared" si="14"/>
        <v>-5.3326210407170546E-2</v>
      </c>
      <c r="AL129" s="205">
        <f t="shared" si="14"/>
        <v>-5.2038137692021508E-2</v>
      </c>
      <c r="AM129" s="205">
        <f t="shared" si="14"/>
        <v>-5.078117784438814E-2</v>
      </c>
      <c r="AN129" s="205">
        <f t="shared" si="14"/>
        <v>-4.9554579345731431E-2</v>
      </c>
      <c r="AO129" s="205">
        <f t="shared" si="14"/>
        <v>-4.8357608830134055E-2</v>
      </c>
      <c r="AP129" s="205">
        <f t="shared" si="14"/>
        <v>-4.7189550645831309E-2</v>
      </c>
    </row>
    <row r="130" spans="1:42" x14ac:dyDescent="0.25">
      <c r="B130" s="206"/>
      <c r="C130" s="20"/>
    </row>
    <row r="131" spans="1:42" x14ac:dyDescent="0.25">
      <c r="B131" s="1" t="s">
        <v>269</v>
      </c>
      <c r="C131" s="1" t="s">
        <v>269</v>
      </c>
      <c r="D131" s="1" t="s">
        <v>269</v>
      </c>
      <c r="E131" s="1" t="s">
        <v>269</v>
      </c>
      <c r="F131" s="1" t="s">
        <v>269</v>
      </c>
      <c r="G131" s="1" t="s">
        <v>269</v>
      </c>
      <c r="H131" s="1" t="s">
        <v>269</v>
      </c>
      <c r="I131" s="1" t="s">
        <v>269</v>
      </c>
      <c r="J131" s="1" t="s">
        <v>269</v>
      </c>
      <c r="K131" s="1" t="s">
        <v>269</v>
      </c>
      <c r="L131" s="1" t="s">
        <v>269</v>
      </c>
      <c r="M131" s="1" t="s">
        <v>269</v>
      </c>
      <c r="N131" s="1" t="s">
        <v>269</v>
      </c>
      <c r="O131" s="1" t="s">
        <v>269</v>
      </c>
      <c r="P131" s="1" t="s">
        <v>269</v>
      </c>
      <c r="Q131" s="1" t="s">
        <v>269</v>
      </c>
      <c r="R131" s="1" t="s">
        <v>269</v>
      </c>
      <c r="S131" s="1" t="s">
        <v>269</v>
      </c>
      <c r="T131" s="1" t="s">
        <v>269</v>
      </c>
      <c r="U131" s="1" t="s">
        <v>269</v>
      </c>
      <c r="V131" s="1" t="s">
        <v>269</v>
      </c>
      <c r="W131" s="1" t="s">
        <v>269</v>
      </c>
      <c r="X131" s="1" t="s">
        <v>269</v>
      </c>
      <c r="Y131" s="1" t="s">
        <v>269</v>
      </c>
      <c r="Z131" s="1" t="s">
        <v>269</v>
      </c>
      <c r="AA131" s="1" t="s">
        <v>269</v>
      </c>
      <c r="AB131" s="1" t="s">
        <v>269</v>
      </c>
      <c r="AC131" s="1" t="s">
        <v>269</v>
      </c>
      <c r="AD131" s="1" t="s">
        <v>269</v>
      </c>
      <c r="AE131" s="1" t="s">
        <v>269</v>
      </c>
      <c r="AF131" s="1" t="s">
        <v>269</v>
      </c>
      <c r="AG131" s="1" t="s">
        <v>269</v>
      </c>
      <c r="AH131" s="1" t="s">
        <v>269</v>
      </c>
      <c r="AI131" s="1" t="s">
        <v>269</v>
      </c>
      <c r="AJ131" s="1" t="s">
        <v>269</v>
      </c>
      <c r="AK131" s="1" t="s">
        <v>269</v>
      </c>
      <c r="AL131" s="1" t="s">
        <v>269</v>
      </c>
      <c r="AM131" s="1" t="s">
        <v>269</v>
      </c>
      <c r="AN131" s="1" t="s">
        <v>269</v>
      </c>
      <c r="AO131" s="1" t="s">
        <v>269</v>
      </c>
      <c r="AP131" s="1" t="s">
        <v>269</v>
      </c>
    </row>
    <row r="132" spans="1:42" s="208" customFormat="1" ht="12.75" x14ac:dyDescent="0.2">
      <c r="A132" s="207" t="s">
        <v>508</v>
      </c>
      <c r="B132" s="208">
        <f>B129</f>
        <v>-0.12548877571354167</v>
      </c>
      <c r="C132" s="208">
        <f>B132+C129</f>
        <v>-0.24794642157893015</v>
      </c>
      <c r="D132" s="208">
        <f t="shared" ref="D132:AP132" si="15">C132+D129</f>
        <v>-0.36744615329298075</v>
      </c>
      <c r="E132" s="208">
        <f t="shared" si="15"/>
        <v>-0.48405941805741659</v>
      </c>
      <c r="F132" s="208">
        <f t="shared" si="15"/>
        <v>-0.59785593729614139</v>
      </c>
      <c r="G132" s="208">
        <f t="shared" si="15"/>
        <v>-0.70890374834069414</v>
      </c>
      <c r="H132" s="208">
        <f t="shared" si="15"/>
        <v>-0.81726924510880838</v>
      </c>
      <c r="I132" s="208">
        <f t="shared" si="15"/>
        <v>-0.92301721780039825</v>
      </c>
      <c r="J132" s="208">
        <f t="shared" si="15"/>
        <v>-1.0262108916347032</v>
      </c>
      <c r="K132" s="208">
        <f t="shared" si="15"/>
        <v>-1.1269119646517545</v>
      </c>
      <c r="L132" s="208">
        <f t="shared" si="15"/>
        <v>-1.2251806446007611</v>
      </c>
      <c r="M132" s="208">
        <f t="shared" si="15"/>
        <v>-1.321075684937473</v>
      </c>
      <c r="N132" s="208">
        <f t="shared" si="15"/>
        <v>-1.4146544199520419</v>
      </c>
      <c r="O132" s="208">
        <f t="shared" si="15"/>
        <v>-1.5059727990483847</v>
      </c>
      <c r="P132" s="208">
        <f t="shared" si="15"/>
        <v>-1.5950854201955402</v>
      </c>
      <c r="Q132" s="208">
        <f t="shared" si="15"/>
        <v>-1.6820455625710256</v>
      </c>
      <c r="R132" s="208">
        <f t="shared" si="15"/>
        <v>-1.7669052184157019</v>
      </c>
      <c r="S132" s="208">
        <f t="shared" si="15"/>
        <v>-1.8497151241192027</v>
      </c>
      <c r="T132" s="208">
        <f t="shared" si="15"/>
        <v>-1.9305247905545029</v>
      </c>
      <c r="U132" s="208">
        <f t="shared" si="15"/>
        <v>-2.0093825326797718</v>
      </c>
      <c r="V132" s="208">
        <f t="shared" si="15"/>
        <v>-2.0863354984252034</v>
      </c>
      <c r="W132" s="208">
        <f t="shared" si="15"/>
        <v>-2.1614296968820979</v>
      </c>
      <c r="X132" s="208">
        <f t="shared" si="15"/>
        <v>-2.2347100258110482</v>
      </c>
      <c r="Y132" s="208">
        <f t="shared" si="15"/>
        <v>-2.3062202984856759</v>
      </c>
      <c r="Z132" s="208">
        <f t="shared" si="15"/>
        <v>-2.3760032698879696</v>
      </c>
      <c r="AA132" s="208">
        <f t="shared" si="15"/>
        <v>-2.4441006622708841</v>
      </c>
      <c r="AB132" s="208">
        <f t="shared" si="15"/>
        <v>-2.5105531901034865</v>
      </c>
      <c r="AC132" s="208">
        <f t="shared" si="15"/>
        <v>-2.5754005844135626</v>
      </c>
      <c r="AD132" s="208">
        <f t="shared" si="15"/>
        <v>-2.638681616542236</v>
      </c>
      <c r="AE132" s="208">
        <f t="shared" si="15"/>
        <v>-2.7004341213248062</v>
      </c>
      <c r="AF132" s="208">
        <f t="shared" si="15"/>
        <v>-2.7606950197116618</v>
      </c>
      <c r="AG132" s="208">
        <f t="shared" si="15"/>
        <v>-2.8195003408427963</v>
      </c>
      <c r="AH132" s="208">
        <f t="shared" si="15"/>
        <v>-2.876885243589121</v>
      </c>
      <c r="AI132" s="208">
        <f t="shared" si="15"/>
        <v>-2.9328840375734573</v>
      </c>
      <c r="AJ132" s="208">
        <f t="shared" si="15"/>
        <v>-2.9875302036837756</v>
      </c>
      <c r="AK132" s="208">
        <f t="shared" si="15"/>
        <v>-3.0408564140909462</v>
      </c>
      <c r="AL132" s="208">
        <f t="shared" si="15"/>
        <v>-3.0928945517829676</v>
      </c>
      <c r="AM132" s="208">
        <f t="shared" si="15"/>
        <v>-3.1436757296273559</v>
      </c>
      <c r="AN132" s="208">
        <f t="shared" si="15"/>
        <v>-3.1932303089730874</v>
      </c>
      <c r="AO132" s="208">
        <f t="shared" si="15"/>
        <v>-3.2415879178032214</v>
      </c>
      <c r="AP132" s="208">
        <f t="shared" si="15"/>
        <v>-3.2887774684490529</v>
      </c>
    </row>
    <row r="134" spans="1:42" x14ac:dyDescent="0.25">
      <c r="A134" s="192" t="s">
        <v>509</v>
      </c>
    </row>
    <row r="135" spans="1:42" s="1" customFormat="1" x14ac:dyDescent="0.25">
      <c r="A135" s="3" t="s">
        <v>486</v>
      </c>
      <c r="B135" s="203">
        <f>IF(Diskontering!B16&lt;=Diskontering!$A$5,($A$88*Diskontering!B25),0)</f>
        <v>-8.8888124999999998E-2</v>
      </c>
      <c r="C135" s="203">
        <f>IF(Diskontering!C16&lt;=Diskontering!$A$5,($A$88*Diskontering!C25),0)</f>
        <v>-8.6741068840579721E-2</v>
      </c>
      <c r="D135" s="203">
        <f>IF(Diskontering!D16&lt;=Diskontering!$A$5,($A$88*Diskontering!D25),0)</f>
        <v>-8.4645873941048805E-2</v>
      </c>
      <c r="E135" s="203">
        <f>IF(Diskontering!E16&lt;=Diskontering!$A$5,($A$88*Diskontering!E25),0)</f>
        <v>-8.2601287613970342E-2</v>
      </c>
      <c r="F135" s="203">
        <f>IF(Diskontering!F16&lt;=Diskontering!$A$5,($A$88*Diskontering!F25),0)</f>
        <v>-8.0606087430058024E-2</v>
      </c>
      <c r="G135" s="203">
        <f>IF(Diskontering!G16&lt;=Diskontering!$A$5,($A$88*Diskontering!G25),0)</f>
        <v>-7.865908048730301E-2</v>
      </c>
      <c r="H135" s="203">
        <f>IF(Diskontering!H16&lt;=Diskontering!$A$5,($A$88*Diskontering!H25),0)</f>
        <v>-7.6759102697754628E-2</v>
      </c>
      <c r="I135" s="203">
        <f>IF(Diskontering!I16&lt;=Diskontering!$A$5,($A$88*Diskontering!I25),0)</f>
        <v>-7.4905018091528677E-2</v>
      </c>
      <c r="J135" s="203">
        <f>IF(Diskontering!J16&lt;=Diskontering!$A$5,($A$88*Diskontering!J25),0)</f>
        <v>-7.3095718137627025E-2</v>
      </c>
      <c r="K135" s="203">
        <f>IF(Diskontering!K16&lt;=Diskontering!$A$5,($A$88*Diskontering!K25),0)</f>
        <v>-7.1330121081162615E-2</v>
      </c>
      <c r="L135" s="203">
        <f>IF(Diskontering!L16&lt;=Diskontering!$A$5,($A$88*Diskontering!L25),0)</f>
        <v>-6.9607171296593467E-2</v>
      </c>
      <c r="M135" s="203">
        <f>IF(Diskontering!M16&lt;=Diskontering!$A$5,($A$88*Diskontering!M25),0)</f>
        <v>-6.7925838656579154E-2</v>
      </c>
      <c r="N135" s="203">
        <f>IF(Diskontering!N16&lt;=Diskontering!$A$5,($A$88*Diskontering!N25),0)</f>
        <v>-6.6285117916082076E-2</v>
      </c>
      <c r="O135" s="203">
        <f>IF(Diskontering!O16&lt;=Diskontering!$A$5,($A$88*Diskontering!O25),0)</f>
        <v>-6.4684028111345798E-2</v>
      </c>
      <c r="P135" s="203">
        <f>IF(Diskontering!P16&lt;=Diskontering!$A$5,($A$88*Diskontering!P25),0)</f>
        <v>-6.3121611973390598E-2</v>
      </c>
      <c r="Q135" s="203">
        <f>IF(Diskontering!Q16&lt;=Diskontering!$A$5,($A$88*Diskontering!Q25),0)</f>
        <v>-6.1596935355675855E-2</v>
      </c>
      <c r="R135" s="203">
        <f>IF(Diskontering!R16&lt;=Diskontering!$A$5,($A$88*Diskontering!R25),0)</f>
        <v>-6.0109086675587071E-2</v>
      </c>
      <c r="S135" s="203">
        <f>IF(Diskontering!S16&lt;=Diskontering!$A$5,($A$88*Diskontering!S25),0)</f>
        <v>-5.8657176369413463E-2</v>
      </c>
      <c r="T135" s="203">
        <f>IF(Diskontering!T16&lt;=Diskontering!$A$5,($A$88*Diskontering!T25),0)</f>
        <v>-5.7240336360490453E-2</v>
      </c>
      <c r="U135" s="203">
        <f>IF(Diskontering!U16&lt;=Diskontering!$A$5,($A$88*Diskontering!U25),0)</f>
        <v>-5.5857719540188748E-2</v>
      </c>
      <c r="V135" s="203">
        <f>IF(Diskontering!V16&lt;=Diskontering!$A$5,($A$88*Diskontering!V25),0)</f>
        <v>-5.4508499261440246E-2</v>
      </c>
      <c r="W135" s="203">
        <f>IF(Diskontering!W16&lt;=Diskontering!$A$5,($A$88*Diskontering!W25),0)</f>
        <v>-5.3191868844497239E-2</v>
      </c>
      <c r="X135" s="203">
        <f>IF(Diskontering!X16&lt;=Diskontering!$A$5,($A$88*Diskontering!X25),0)</f>
        <v>-5.1907041094630173E-2</v>
      </c>
      <c r="Y135" s="203">
        <f>IF(Diskontering!Y16&lt;=Diskontering!$A$5,($A$88*Diskontering!Y25),0)</f>
        <v>-5.065324783147486E-2</v>
      </c>
      <c r="Z135" s="203">
        <f>IF(Diskontering!Z16&lt;=Diskontering!$A$5,($A$88*Diskontering!Z25),0)</f>
        <v>-4.9429739429748418E-2</v>
      </c>
      <c r="AA135" s="203">
        <f>IF(Diskontering!AA16&lt;=Diskontering!$A$5,($A$88*Diskontering!AA25),0)</f>
        <v>-4.823578437105884E-2</v>
      </c>
      <c r="AB135" s="203">
        <f>IF(Diskontering!AB16&lt;=Diskontering!$A$5,($A$88*Diskontering!AB25),0)</f>
        <v>-4.7070668806540518E-2</v>
      </c>
      <c r="AC135" s="203">
        <f>IF(Diskontering!AC16&lt;=Diskontering!$A$5,($A$88*Diskontering!AC25),0)</f>
        <v>-4.5933696130054026E-2</v>
      </c>
      <c r="AD135" s="203">
        <f>IF(Diskontering!AD16&lt;=Diskontering!$A$5,($A$88*Diskontering!AD25),0)</f>
        <v>-4.4824186561695241E-2</v>
      </c>
      <c r="AE135" s="203">
        <f>IF(Diskontering!AE16&lt;=Diskontering!$A$5,($A$88*Diskontering!AE25),0)</f>
        <v>-4.374147674136445E-2</v>
      </c>
      <c r="AF135" s="203">
        <f>IF(Diskontering!AF16&lt;=Diskontering!$A$5,($A$88*Diskontering!AF25),0)</f>
        <v>-4.2684919332152751E-2</v>
      </c>
      <c r="AG135" s="203">
        <f>IF(Diskontering!AG16&lt;=Diskontering!$A$5,($A$88*Diskontering!AG25),0)</f>
        <v>-4.1653882633308485E-2</v>
      </c>
      <c r="AH135" s="203">
        <f>IF(Diskontering!AH16&lt;=Diskontering!$A$5,($A$88*Diskontering!AH25),0)</f>
        <v>-4.0647750202552249E-2</v>
      </c>
      <c r="AI135" s="203">
        <f>IF(Diskontering!AI16&lt;=Diskontering!$A$5,($A$88*Diskontering!AI25),0)</f>
        <v>-3.9665920487514758E-2</v>
      </c>
      <c r="AJ135" s="203">
        <f>IF(Diskontering!AJ16&lt;=Diskontering!$A$5,($A$88*Diskontering!AJ25),0)</f>
        <v>-3.8707806466077209E-2</v>
      </c>
      <c r="AK135" s="203">
        <f>IF(Diskontering!AK16&lt;=Diskontering!$A$5,($A$88*Diskontering!AK25),0)</f>
        <v>-3.7772835295399008E-2</v>
      </c>
      <c r="AL135" s="203">
        <f>IF(Diskontering!AL16&lt;=Diskontering!$A$5,($A$88*Diskontering!AL25),0)</f>
        <v>-3.6860447969423192E-2</v>
      </c>
      <c r="AM135" s="203">
        <f>IF(Diskontering!AM16&lt;=Diskontering!$A$5,($A$88*Diskontering!AM25),0)</f>
        <v>-3.5970098984654524E-2</v>
      </c>
      <c r="AN135" s="203">
        <f>IF(Diskontering!AN16&lt;=Diskontering!$A$5,($A$88*Diskontering!AN25),0)</f>
        <v>-3.51012560140107E-2</v>
      </c>
      <c r="AO135" s="203">
        <f>IF(Diskontering!AO16&lt;=Diskontering!$A$5,($A$88*Diskontering!AO25),0)</f>
        <v>-3.425339958855151E-2</v>
      </c>
      <c r="AP135" s="203">
        <f>IF(Diskontering!AP16&lt;=Diskontering!$A$5,($A$88*Diskontering!AP25),0)</f>
        <v>-3.3426022786895673E-2</v>
      </c>
    </row>
    <row r="136" spans="1:42" s="673" customFormat="1" x14ac:dyDescent="0.25">
      <c r="A136" s="678" t="s">
        <v>887</v>
      </c>
      <c r="B136" s="679">
        <f>IF(Diskontering!B16&lt;=Diskontering!$A$5,($B$72*Diskontering!B25),0)</f>
        <v>-0.1186</v>
      </c>
      <c r="C136" s="679">
        <f>IF(Diskontering!C16&lt;=Diskontering!$A$5,($B$72*Diskontering!C25),0)</f>
        <v>-0.11573526570048311</v>
      </c>
      <c r="D136" s="679">
        <f>IF(Diskontering!D16&lt;=Diskontering!$A$5,($B$72*Diskontering!D25),0)</f>
        <v>-0.11293972788163084</v>
      </c>
      <c r="E136" s="679">
        <f>IF(Diskontering!E16&lt;=Diskontering!$A$5,($B$72*Diskontering!E25),0)</f>
        <v>-0.11021171513086683</v>
      </c>
      <c r="F136" s="679">
        <f>IF(Diskontering!F16&lt;=Diskontering!$A$5,($B$72*Diskontering!F25),0)</f>
        <v>-0.10754959640789905</v>
      </c>
      <c r="G136" s="679">
        <f>IF(Diskontering!G16&lt;=Diskontering!$A$5,($B$72*Diskontering!G25),0)</f>
        <v>-0.104951780069544</v>
      </c>
      <c r="H136" s="679">
        <f>IF(Diskontering!H16&lt;=Diskontering!$A$5,($B$72*Diskontering!H25),0)</f>
        <v>-0.10241671291810575</v>
      </c>
      <c r="I136" s="679">
        <f>IF(Diskontering!I16&lt;=Diskontering!$A$5,($B$72*Diskontering!I25),0)</f>
        <v>-9.9942879272740884E-2</v>
      </c>
      <c r="J136" s="679">
        <f>IF(Diskontering!J16&lt;=Diskontering!$A$5,($B$72*Diskontering!J25),0)</f>
        <v>-9.7528800063254387E-2</v>
      </c>
      <c r="K136" s="679">
        <f>IF(Diskontering!K16&lt;=Diskontering!$A$5,($B$72*Diskontering!K25),0)</f>
        <v>-9.5173031945784498E-2</v>
      </c>
      <c r="L136" s="679">
        <f>IF(Diskontering!L16&lt;=Diskontering!$A$5,($B$72*Diskontering!L25),0)</f>
        <v>-9.287416643984768E-2</v>
      </c>
      <c r="M136" s="679">
        <f>IF(Diskontering!M16&lt;=Diskontering!$A$5,($B$72*Diskontering!M25),0)</f>
        <v>-9.0630829086228201E-2</v>
      </c>
      <c r="N136" s="679">
        <f>IF(Diskontering!N16&lt;=Diskontering!$A$5,($B$72*Diskontering!N25),0)</f>
        <v>-8.8441678625208187E-2</v>
      </c>
      <c r="O136" s="679">
        <f>IF(Diskontering!O16&lt;=Diskontering!$A$5,($B$72*Diskontering!O25),0)</f>
        <v>-8.6305406194647619E-2</v>
      </c>
      <c r="P136" s="679">
        <f>IF(Diskontering!P16&lt;=Diskontering!$A$5,($B$72*Diskontering!P25),0)</f>
        <v>-8.4220734547433923E-2</v>
      </c>
      <c r="Q136" s="679">
        <f>IF(Diskontering!Q16&lt;=Diskontering!$A$5,($B$72*Diskontering!Q25),0)</f>
        <v>-8.2186417287834074E-2</v>
      </c>
      <c r="R136" s="679">
        <f>IF(Diskontering!R16&lt;=Diskontering!$A$5,($B$72*Diskontering!R25),0)</f>
        <v>-8.0201238126292193E-2</v>
      </c>
      <c r="S136" s="679">
        <f>IF(Diskontering!S16&lt;=Diskontering!$A$5,($B$72*Diskontering!S25),0)</f>
        <v>-7.8264010152227156E-2</v>
      </c>
      <c r="T136" s="679">
        <f>IF(Diskontering!T16&lt;=Diskontering!$A$5,($B$72*Diskontering!T25),0)</f>
        <v>-7.6373575124395604E-2</v>
      </c>
      <c r="U136" s="679">
        <f>IF(Diskontering!U16&lt;=Diskontering!$A$5,($B$72*Diskontering!U25),0)</f>
        <v>-7.4528802778395714E-2</v>
      </c>
      <c r="V136" s="679">
        <f>IF(Diskontering!V16&lt;=Diskontering!$A$5,($B$72*Diskontering!V25),0)</f>
        <v>-7.2728590150898248E-2</v>
      </c>
      <c r="W136" s="679">
        <f>IF(Diskontering!W16&lt;=Diskontering!$A$5,($B$72*Diskontering!W25),0)</f>
        <v>-7.0971860920200233E-2</v>
      </c>
      <c r="X136" s="679">
        <f>IF(Diskontering!X16&lt;=Diskontering!$A$5,($B$72*Diskontering!X25),0)</f>
        <v>-6.9257564762707488E-2</v>
      </c>
      <c r="Y136" s="679">
        <f>IF(Diskontering!Y16&lt;=Diskontering!$A$5,($B$72*Diskontering!Y25),0)</f>
        <v>-6.7584676724960935E-2</v>
      </c>
      <c r="Z136" s="679">
        <f>IF(Diskontering!Z16&lt;=Diskontering!$A$5,($B$72*Diskontering!Z25),0)</f>
        <v>-6.5952196610831446E-2</v>
      </c>
      <c r="AA136" s="679">
        <f>IF(Diskontering!AA16&lt;=Diskontering!$A$5,($B$72*Diskontering!AA25),0)</f>
        <v>-6.4359148383516682E-2</v>
      </c>
      <c r="AB136" s="679">
        <f>IF(Diskontering!AB16&lt;=Diskontering!$A$5,($B$72*Diskontering!AB25),0)</f>
        <v>-6.2804579581982461E-2</v>
      </c>
      <c r="AC136" s="679">
        <f>IF(Diskontering!AC16&lt;=Diskontering!$A$5,($B$72*Diskontering!AC25),0)</f>
        <v>-6.1287560751499791E-2</v>
      </c>
      <c r="AD136" s="679">
        <f>IF(Diskontering!AD16&lt;=Diskontering!$A$5,($B$72*Diskontering!AD25),0)</f>
        <v>-5.9807184887937008E-2</v>
      </c>
      <c r="AE136" s="679">
        <f>IF(Diskontering!AE16&lt;=Diskontering!$A$5,($B$72*Diskontering!AE25),0)</f>
        <v>-5.8362566895474775E-2</v>
      </c>
      <c r="AF136" s="679">
        <f>IF(Diskontering!AF16&lt;=Diskontering!$A$5,($B$72*Diskontering!AF25),0)</f>
        <v>-5.6952843057419836E-2</v>
      </c>
      <c r="AG136" s="679">
        <f>IF(Diskontering!AG16&lt;=Diskontering!$A$5,($B$72*Diskontering!AG25),0)</f>
        <v>-5.5577170519800996E-2</v>
      </c>
      <c r="AH136" s="679">
        <f>IF(Diskontering!AH16&lt;=Diskontering!$A$5,($B$72*Diskontering!AH25),0)</f>
        <v>-5.4234726787438667E-2</v>
      </c>
      <c r="AI136" s="679">
        <f>IF(Diskontering!AI16&lt;=Diskontering!$A$5,($B$72*Diskontering!AI25),0)</f>
        <v>-5.2924709232186527E-2</v>
      </c>
      <c r="AJ136" s="679">
        <f>IF(Diskontering!AJ16&lt;=Diskontering!$A$5,($B$72*Diskontering!AJ25),0)</f>
        <v>-5.1646334613051598E-2</v>
      </c>
      <c r="AK136" s="679">
        <f>IF(Diskontering!AK16&lt;=Diskontering!$A$5,($B$72*Diskontering!AK25),0)</f>
        <v>-5.0398838607905415E-2</v>
      </c>
      <c r="AL136" s="679">
        <f>IF(Diskontering!AL16&lt;=Diskontering!$A$5,($B$72*Diskontering!AL25),0)</f>
        <v>-4.9181475356506743E-2</v>
      </c>
      <c r="AM136" s="679">
        <f>IF(Diskontering!AM16&lt;=Diskontering!$A$5,($B$72*Diskontering!AM25),0)</f>
        <v>-4.7993517014562136E-2</v>
      </c>
      <c r="AN136" s="679">
        <f>IF(Diskontering!AN16&lt;=Diskontering!$A$5,($B$72*Diskontering!AN25),0)</f>
        <v>-4.6834253318558228E-2</v>
      </c>
      <c r="AO136" s="679">
        <f>IF(Diskontering!AO16&lt;=Diskontering!$A$5,($B$72*Diskontering!AO25),0)</f>
        <v>-4.5702991161105141E-2</v>
      </c>
      <c r="AP136" s="679">
        <f>IF(Diskontering!AP16&lt;=Diskontering!$A$5,($B$72*Diskontering!AP25),0)</f>
        <v>-4.4599054176537388E-2</v>
      </c>
    </row>
    <row r="137" spans="1:42" s="673" customFormat="1" x14ac:dyDescent="0.25">
      <c r="A137" s="678" t="s">
        <v>888</v>
      </c>
      <c r="B137" s="679">
        <f>IF(Diskontering!B16&lt;=Diskontering!$A$5,($B$73*Diskontering!B22),0)</f>
        <v>-1.0405</v>
      </c>
      <c r="C137" s="679">
        <f>IF(Diskontering!C16&lt;=Diskontering!$A$5,($B$73*Diskontering!C22),0)</f>
        <v>-0.99711985638657974</v>
      </c>
      <c r="D137" s="679">
        <f>IF(Diskontering!D16&lt;=Diskontering!$A$5,($B$73*Diskontering!D22),0)</f>
        <v>-0.95554830177836936</v>
      </c>
      <c r="E137" s="679">
        <f>IF(Diskontering!E16&lt;=Diskontering!$A$5,($B$73*Diskontering!E22),0)</f>
        <v>-0.91570993314722537</v>
      </c>
      <c r="F137" s="679">
        <f>IF(Diskontering!F16&lt;=Diskontering!$A$5,($B$73*Diskontering!F22),0)</f>
        <v>-0.87753249114034204</v>
      </c>
      <c r="G137" s="679">
        <f>IF(Diskontering!G16&lt;=Diskontering!$A$5,($B$73*Diskontering!G22),0)</f>
        <v>-0.8409467290152961</v>
      </c>
      <c r="H137" s="679">
        <f>IF(Diskontering!H16&lt;=Diskontering!$A$5,($B$73*Diskontering!H22),0)</f>
        <v>-0.80588628703940035</v>
      </c>
      <c r="I137" s="679">
        <f>IF(Diskontering!I16&lt;=Diskontering!$A$5,($B$73*Diskontering!I22),0)</f>
        <v>-0.77228757212555588</v>
      </c>
      <c r="J137" s="679">
        <f>IF(Diskontering!J16&lt;=Diskontering!$A$5,($B$73*Diskontering!J22),0)</f>
        <v>-0.74008964248628017</v>
      </c>
      <c r="K137" s="679">
        <f>IF(Diskontering!K16&lt;=Diskontering!$A$5,($B$73*Diskontering!K22),0)</f>
        <v>-0.7092340970966986</v>
      </c>
      <c r="L137" s="679">
        <f>IF(Diskontering!L16&lt;=Diskontering!$A$5,($B$73*Diskontering!L22),0)</f>
        <v>-0.67966496976600266</v>
      </c>
      <c r="M137" s="679">
        <f>IF(Diskontering!M16&lt;=Diskontering!$A$5,($B$73*Diskontering!M22),0)</f>
        <v>-0.65132862762524335</v>
      </c>
      <c r="N137" s="679">
        <f>IF(Diskontering!N16&lt;=Diskontering!$A$5,($B$73*Diskontering!N22),0)</f>
        <v>-0.6241736738473338</v>
      </c>
      <c r="O137" s="679">
        <f>IF(Diskontering!O16&lt;=Diskontering!$A$5,($B$73*Diskontering!O22),0)</f>
        <v>-0.59815085442281346</v>
      </c>
      <c r="P137" s="679">
        <f>IF(Diskontering!P16&lt;=Diskontering!$A$5,($B$73*Diskontering!P22),0)</f>
        <v>-0.57321296882228323</v>
      </c>
      <c r="Q137" s="679">
        <f>IF(Diskontering!Q16&lt;=Diskontering!$A$5,($B$73*Diskontering!Q22),0)</f>
        <v>-0.54931478438346959</v>
      </c>
      <c r="R137" s="679">
        <f>IF(Diskontering!R16&lt;=Diskontering!$A$5,($B$73*Diskontering!R22),0)</f>
        <v>-0.52641295426763124</v>
      </c>
      <c r="S137" s="679">
        <f>IF(Diskontering!S16&lt;=Diskontering!$A$5,($B$73*Diskontering!S22),0)</f>
        <v>-0.50446593883649737</v>
      </c>
      <c r="T137" s="679">
        <f>IF(Diskontering!T16&lt;=Diskontering!$A$5,($B$73*Diskontering!T22),0)</f>
        <v>-0.48343393030713072</v>
      </c>
      <c r="U137" s="679">
        <f>IF(Diskontering!U16&lt;=Diskontering!$A$5,($B$73*Diskontering!U22),0)</f>
        <v>-0.46327878054804994</v>
      </c>
      <c r="V137" s="679">
        <f>IF(Diskontering!V16&lt;=Diskontering!$A$5,($B$73*Diskontering!V22),0)</f>
        <v>-0.44396393188565259</v>
      </c>
      <c r="W137" s="679">
        <f>IF(Diskontering!W16&lt;=Diskontering!$A$5,($B$73*Diskontering!W22),0)</f>
        <v>-0.42545435079542832</v>
      </c>
      <c r="X137" s="679">
        <f>IF(Diskontering!X16&lt;=Diskontering!$A$5,($B$73*Diskontering!X22),0)</f>
        <v>-0.40771646435769637</v>
      </c>
      <c r="Y137" s="679">
        <f>IF(Diskontering!Y16&lt;=Diskontering!$A$5,($B$73*Diskontering!Y22),0)</f>
        <v>-0.39071809936260476</v>
      </c>
      <c r="Z137" s="679">
        <f>IF(Diskontering!Z16&lt;=Diskontering!$A$5,($B$73*Diskontering!Z22),0)</f>
        <v>-0.37442842395394321</v>
      </c>
      <c r="AA137" s="679">
        <f>IF(Diskontering!AA16&lt;=Diskontering!$A$5,($B$73*Diskontering!AA22),0)</f>
        <v>-0.35881789170591943</v>
      </c>
      <c r="AB137" s="679">
        <f>IF(Diskontering!AB16&lt;=Diskontering!$A$5,($B$73*Diskontering!AB22),0)</f>
        <v>-0.34385818803146728</v>
      </c>
      <c r="AC137" s="679">
        <f>IF(Diskontering!AC16&lt;=Diskontering!$A$5,($B$73*Diskontering!AC22),0)</f>
        <v>-0.32952217882487855</v>
      </c>
      <c r="AD137" s="679">
        <f>IF(Diskontering!AD16&lt;=Diskontering!$A$5,($B$73*Diskontering!AD22),0)</f>
        <v>-0.31578386124560864</v>
      </c>
      <c r="AE137" s="679">
        <f>IF(Diskontering!AE16&lt;=Diskontering!$A$5,($B$73*Diskontering!AE22),0)</f>
        <v>-0.30261831655398458</v>
      </c>
      <c r="AF137" s="679">
        <f>IF(Diskontering!AF16&lt;=Diskontering!$A$5,($B$73*Diskontering!AF22),0)</f>
        <v>-0.29000166491327023</v>
      </c>
      <c r="AG137" s="679">
        <f>IF(Diskontering!AG16&lt;=Diskontering!$A$5,($B$73*Diskontering!AG22),0)</f>
        <v>-0.27791102207610674</v>
      </c>
      <c r="AH137" s="679">
        <f>IF(Diskontering!AH16&lt;=Diskontering!$A$5,($B$73*Diskontering!AH22),0)</f>
        <v>-0.26632445787676612</v>
      </c>
      <c r="AI137" s="679">
        <f>IF(Diskontering!AI16&lt;=Diskontering!$A$5,($B$73*Diskontering!AI22),0)</f>
        <v>-0.25522095645393056</v>
      </c>
      <c r="AJ137" s="679">
        <f>IF(Diskontering!AJ16&lt;=Diskontering!$A$5,($B$73*Diskontering!AJ22),0)</f>
        <v>-0.24458037813184888</v>
      </c>
      <c r="AK137" s="679">
        <f>IF(Diskontering!AK16&lt;=Diskontering!$A$5,($B$73*Diskontering!AK22),0)</f>
        <v>-0.23438342289072997</v>
      </c>
      <c r="AL137" s="679">
        <f>IF(Diskontering!AL16&lt;=Diskontering!$A$5,($B$73*Diskontering!AL22),0)</f>
        <v>-0.22461159536011502</v>
      </c>
      <c r="AM137" s="679">
        <f>IF(Diskontering!AM16&lt;=Diskontering!$A$5,($B$73*Diskontering!AM22),0)</f>
        <v>-0.21524717127173326</v>
      </c>
      <c r="AN137" s="679">
        <f>IF(Diskontering!AN16&lt;=Diskontering!$A$5,($B$73*Diskontering!AN22),0)</f>
        <v>-0.20627316531099305</v>
      </c>
      <c r="AO137" s="679">
        <f>IF(Diskontering!AO16&lt;=Diskontering!$A$5,($B$73*Diskontering!AO22),0)</f>
        <v>-0.19767330030879635</v>
      </c>
      <c r="AP137" s="679">
        <f>IF(Diskontering!AP16&lt;=Diskontering!$A$5,($B$73*Diskontering!AP22),0)</f>
        <v>-0.18943197771779746</v>
      </c>
    </row>
    <row r="138" spans="1:42" s="211" customFormat="1" x14ac:dyDescent="0.25">
      <c r="A138" s="209" t="s">
        <v>511</v>
      </c>
      <c r="B138" s="210">
        <f>B135+B136+B137</f>
        <v>-1.247988125</v>
      </c>
      <c r="C138" s="210">
        <f t="shared" ref="C138:AP138" si="16">C135+C136+C137</f>
        <v>-1.1995961909276427</v>
      </c>
      <c r="D138" s="210">
        <f t="shared" si="16"/>
        <v>-1.1531339036010491</v>
      </c>
      <c r="E138" s="210">
        <f t="shared" si="16"/>
        <v>-1.1085229358920625</v>
      </c>
      <c r="F138" s="210">
        <f t="shared" si="16"/>
        <v>-1.0656881749782992</v>
      </c>
      <c r="G138" s="210">
        <f t="shared" si="16"/>
        <v>-1.024557589572143</v>
      </c>
      <c r="H138" s="210">
        <f t="shared" si="16"/>
        <v>-0.98506210265526073</v>
      </c>
      <c r="I138" s="210">
        <f t="shared" si="16"/>
        <v>-0.94713546948982541</v>
      </c>
      <c r="J138" s="210">
        <f t="shared" si="16"/>
        <v>-0.9107141606871616</v>
      </c>
      <c r="K138" s="210">
        <f t="shared" si="16"/>
        <v>-0.87573725012364578</v>
      </c>
      <c r="L138" s="210">
        <f t="shared" si="16"/>
        <v>-0.84214630750244379</v>
      </c>
      <c r="M138" s="210">
        <f t="shared" si="16"/>
        <v>-0.80988529536805065</v>
      </c>
      <c r="N138" s="210">
        <f t="shared" si="16"/>
        <v>-0.77890047038862409</v>
      </c>
      <c r="O138" s="210">
        <f t="shared" si="16"/>
        <v>-0.74914028872880689</v>
      </c>
      <c r="P138" s="210">
        <f t="shared" si="16"/>
        <v>-0.72055531534310768</v>
      </c>
      <c r="Q138" s="210">
        <f t="shared" si="16"/>
        <v>-0.69309813702697953</v>
      </c>
      <c r="R138" s="210">
        <f t="shared" si="16"/>
        <v>-0.66672327906951057</v>
      </c>
      <c r="S138" s="210">
        <f t="shared" si="16"/>
        <v>-0.64138712535813802</v>
      </c>
      <c r="T138" s="210">
        <f t="shared" si="16"/>
        <v>-0.61704784179201677</v>
      </c>
      <c r="U138" s="210">
        <f t="shared" si="16"/>
        <v>-0.59366530286663444</v>
      </c>
      <c r="V138" s="210">
        <f t="shared" si="16"/>
        <v>-0.57120102129799111</v>
      </c>
      <c r="W138" s="210">
        <f t="shared" si="16"/>
        <v>-0.54961808056012584</v>
      </c>
      <c r="X138" s="210">
        <f t="shared" si="16"/>
        <v>-0.52888107021503405</v>
      </c>
      <c r="Y138" s="210">
        <f t="shared" si="16"/>
        <v>-0.5089560239190406</v>
      </c>
      <c r="Z138" s="210">
        <f t="shared" si="16"/>
        <v>-0.48981035999452305</v>
      </c>
      <c r="AA138" s="210">
        <f t="shared" si="16"/>
        <v>-0.47141282446049493</v>
      </c>
      <c r="AB138" s="210">
        <f t="shared" si="16"/>
        <v>-0.45373343641999025</v>
      </c>
      <c r="AC138" s="210">
        <f t="shared" si="16"/>
        <v>-0.43674343570643237</v>
      </c>
      <c r="AD138" s="210">
        <f t="shared" si="16"/>
        <v>-0.42041523269524089</v>
      </c>
      <c r="AE138" s="210">
        <f t="shared" si="16"/>
        <v>-0.4047223601908238</v>
      </c>
      <c r="AF138" s="210">
        <f t="shared" si="16"/>
        <v>-0.38963942730284284</v>
      </c>
      <c r="AG138" s="210">
        <f t="shared" si="16"/>
        <v>-0.37514207522921622</v>
      </c>
      <c r="AH138" s="210">
        <f t="shared" si="16"/>
        <v>-0.36120693486675703</v>
      </c>
      <c r="AI138" s="210">
        <f t="shared" si="16"/>
        <v>-0.34781158617363184</v>
      </c>
      <c r="AJ138" s="210">
        <f t="shared" si="16"/>
        <v>-0.33493451921097772</v>
      </c>
      <c r="AK138" s="210">
        <f t="shared" si="16"/>
        <v>-0.32255509679403438</v>
      </c>
      <c r="AL138" s="210">
        <f t="shared" si="16"/>
        <v>-0.31065351868604496</v>
      </c>
      <c r="AM138" s="210">
        <f t="shared" si="16"/>
        <v>-0.29921078727094991</v>
      </c>
      <c r="AN138" s="210">
        <f t="shared" si="16"/>
        <v>-0.28820867464356198</v>
      </c>
      <c r="AO138" s="210">
        <f t="shared" si="16"/>
        <v>-0.27762969105845303</v>
      </c>
      <c r="AP138" s="210">
        <f t="shared" si="16"/>
        <v>-0.26745705468123049</v>
      </c>
    </row>
    <row r="139" spans="1:42" s="1" customFormat="1" x14ac:dyDescent="0.25">
      <c r="B139" s="1" t="s">
        <v>269</v>
      </c>
      <c r="C139" s="1" t="s">
        <v>269</v>
      </c>
      <c r="D139" s="1" t="s">
        <v>269</v>
      </c>
      <c r="E139" s="1" t="s">
        <v>269</v>
      </c>
      <c r="F139" s="1" t="s">
        <v>269</v>
      </c>
      <c r="G139" s="1" t="s">
        <v>269</v>
      </c>
      <c r="H139" s="1" t="s">
        <v>269</v>
      </c>
      <c r="I139" s="1" t="s">
        <v>269</v>
      </c>
      <c r="J139" s="1" t="s">
        <v>269</v>
      </c>
      <c r="K139" s="1" t="s">
        <v>269</v>
      </c>
      <c r="L139" s="1" t="s">
        <v>269</v>
      </c>
      <c r="M139" s="1" t="s">
        <v>269</v>
      </c>
      <c r="N139" s="1" t="s">
        <v>269</v>
      </c>
      <c r="O139" s="1" t="s">
        <v>269</v>
      </c>
      <c r="P139" s="1" t="s">
        <v>269</v>
      </c>
      <c r="Q139" s="1" t="s">
        <v>269</v>
      </c>
      <c r="R139" s="1" t="s">
        <v>269</v>
      </c>
      <c r="S139" s="1" t="s">
        <v>269</v>
      </c>
      <c r="T139" s="1" t="s">
        <v>269</v>
      </c>
      <c r="U139" s="1" t="s">
        <v>269</v>
      </c>
      <c r="V139" s="1" t="s">
        <v>269</v>
      </c>
      <c r="W139" s="1" t="s">
        <v>269</v>
      </c>
      <c r="X139" s="1" t="s">
        <v>269</v>
      </c>
      <c r="Y139" s="1" t="s">
        <v>269</v>
      </c>
      <c r="Z139" s="1" t="s">
        <v>269</v>
      </c>
      <c r="AA139" s="1" t="s">
        <v>269</v>
      </c>
      <c r="AB139" s="1" t="s">
        <v>269</v>
      </c>
      <c r="AC139" s="1" t="s">
        <v>269</v>
      </c>
      <c r="AD139" s="1" t="s">
        <v>269</v>
      </c>
      <c r="AE139" s="1" t="s">
        <v>269</v>
      </c>
      <c r="AF139" s="1" t="s">
        <v>269</v>
      </c>
      <c r="AG139" s="1" t="s">
        <v>269</v>
      </c>
      <c r="AH139" s="1" t="s">
        <v>269</v>
      </c>
      <c r="AI139" s="1" t="s">
        <v>269</v>
      </c>
      <c r="AJ139" s="1" t="s">
        <v>269</v>
      </c>
      <c r="AK139" s="1" t="s">
        <v>269</v>
      </c>
      <c r="AL139" s="1" t="s">
        <v>269</v>
      </c>
      <c r="AM139" s="1" t="s">
        <v>269</v>
      </c>
      <c r="AN139" s="1" t="s">
        <v>269</v>
      </c>
      <c r="AO139" s="1" t="s">
        <v>269</v>
      </c>
      <c r="AP139" s="1" t="s">
        <v>269</v>
      </c>
    </row>
    <row r="140" spans="1:42" s="213" customFormat="1" ht="12.75" x14ac:dyDescent="0.2">
      <c r="A140" s="212" t="s">
        <v>512</v>
      </c>
      <c r="B140" s="208">
        <f>B138</f>
        <v>-1.247988125</v>
      </c>
      <c r="C140" s="208">
        <f>B140+C138</f>
        <v>-2.4475843159276427</v>
      </c>
      <c r="D140" s="208">
        <f t="shared" ref="D140:AP140" si="17">C140+D138</f>
        <v>-3.6007182195286918</v>
      </c>
      <c r="E140" s="208">
        <f>D140+E138</f>
        <v>-4.7092411554207541</v>
      </c>
      <c r="F140" s="208">
        <f t="shared" si="17"/>
        <v>-5.7749293303990532</v>
      </c>
      <c r="G140" s="208">
        <f t="shared" si="17"/>
        <v>-6.799486919971196</v>
      </c>
      <c r="H140" s="208">
        <f t="shared" si="17"/>
        <v>-7.7845490226264564</v>
      </c>
      <c r="I140" s="208">
        <f t="shared" si="17"/>
        <v>-8.7316844921162815</v>
      </c>
      <c r="J140" s="208">
        <f t="shared" si="17"/>
        <v>-9.6423986528034433</v>
      </c>
      <c r="K140" s="208">
        <f t="shared" si="17"/>
        <v>-10.518135902927089</v>
      </c>
      <c r="L140" s="208">
        <f t="shared" si="17"/>
        <v>-11.360282210429533</v>
      </c>
      <c r="M140" s="208">
        <f t="shared" si="17"/>
        <v>-12.170167505797584</v>
      </c>
      <c r="N140" s="208">
        <f t="shared" si="17"/>
        <v>-12.949067976186209</v>
      </c>
      <c r="O140" s="208">
        <f t="shared" si="17"/>
        <v>-13.698208264915015</v>
      </c>
      <c r="P140" s="208">
        <f t="shared" si="17"/>
        <v>-14.418763580258123</v>
      </c>
      <c r="Q140" s="208">
        <f t="shared" si="17"/>
        <v>-15.111861717285102</v>
      </c>
      <c r="R140" s="208">
        <f t="shared" si="17"/>
        <v>-15.778584996354612</v>
      </c>
      <c r="S140" s="208">
        <f t="shared" si="17"/>
        <v>-16.41997212171275</v>
      </c>
      <c r="T140" s="208">
        <f t="shared" si="17"/>
        <v>-17.037019963504765</v>
      </c>
      <c r="U140" s="208">
        <f t="shared" si="17"/>
        <v>-17.630685266371398</v>
      </c>
      <c r="V140" s="208">
        <f t="shared" si="17"/>
        <v>-18.201886287669389</v>
      </c>
      <c r="W140" s="208">
        <f t="shared" si="17"/>
        <v>-18.751504368229515</v>
      </c>
      <c r="X140" s="208">
        <f t="shared" si="17"/>
        <v>-19.280385438444551</v>
      </c>
      <c r="Y140" s="208">
        <f t="shared" si="17"/>
        <v>-19.789341462363591</v>
      </c>
      <c r="Z140" s="208">
        <f t="shared" si="17"/>
        <v>-20.279151822358113</v>
      </c>
      <c r="AA140" s="208">
        <f t="shared" si="17"/>
        <v>-20.750564646818606</v>
      </c>
      <c r="AB140" s="208">
        <f t="shared" si="17"/>
        <v>-21.204298083238598</v>
      </c>
      <c r="AC140" s="208">
        <f t="shared" si="17"/>
        <v>-21.64104151894503</v>
      </c>
      <c r="AD140" s="208">
        <f t="shared" si="17"/>
        <v>-22.061456751640272</v>
      </c>
      <c r="AE140" s="208">
        <f t="shared" si="17"/>
        <v>-22.466179111831096</v>
      </c>
      <c r="AF140" s="208">
        <f t="shared" si="17"/>
        <v>-22.855818539133939</v>
      </c>
      <c r="AG140" s="208">
        <f t="shared" si="17"/>
        <v>-23.230960614363156</v>
      </c>
      <c r="AH140" s="208">
        <f t="shared" si="17"/>
        <v>-23.592167549229913</v>
      </c>
      <c r="AI140" s="208">
        <f t="shared" si="17"/>
        <v>-23.939979135403544</v>
      </c>
      <c r="AJ140" s="208">
        <f t="shared" si="17"/>
        <v>-24.274913654614522</v>
      </c>
      <c r="AK140" s="208">
        <f t="shared" si="17"/>
        <v>-24.597468751408556</v>
      </c>
      <c r="AL140" s="208">
        <f t="shared" si="17"/>
        <v>-24.908122270094601</v>
      </c>
      <c r="AM140" s="208">
        <f t="shared" si="17"/>
        <v>-25.207333057365553</v>
      </c>
      <c r="AN140" s="208">
        <f t="shared" si="17"/>
        <v>-25.495541732009116</v>
      </c>
      <c r="AO140" s="208">
        <f t="shared" si="17"/>
        <v>-25.77317142306757</v>
      </c>
      <c r="AP140" s="208">
        <f t="shared" si="17"/>
        <v>-26.0406284777488</v>
      </c>
    </row>
    <row r="141" spans="1:42" s="1" customFormat="1" x14ac:dyDescent="0.25"/>
    <row r="142" spans="1:42" s="1" customFormat="1" x14ac:dyDescent="0.25">
      <c r="A142" s="178" t="s">
        <v>513</v>
      </c>
    </row>
    <row r="143" spans="1:42" s="1" customFormat="1" x14ac:dyDescent="0.25">
      <c r="A143" s="3" t="s">
        <v>514</v>
      </c>
      <c r="B143" s="40">
        <f>IF(Diskontering!B16&lt;=Diskontering!$A$5,($B$97*Diskontering!B26),0)</f>
        <v>-2.5365311312464035E-2</v>
      </c>
      <c r="C143" s="40">
        <f>IF([1]Diskontering!C16&lt;=[1]Diskontering!$A$5,($B$97*[1]Diskontering!C22),0)</f>
        <v>-2.4801637727742614E-2</v>
      </c>
      <c r="D143" s="40">
        <f>IF([1]Diskontering!D16&lt;=[1]Diskontering!$A$5,($B$97*[1]Diskontering!D22),0)</f>
        <v>-2.4250490222681668E-2</v>
      </c>
      <c r="E143" s="40">
        <f>IF([1]Diskontering!E16&lt;=[1]Diskontering!$A$5,($B$97*[1]Diskontering!E22),0)</f>
        <v>-2.371159043995541E-2</v>
      </c>
      <c r="F143" s="40">
        <f>IF([1]Diskontering!F16&lt;=[1]Diskontering!$A$5,($B$97*[1]Diskontering!F22),0)</f>
        <v>-2.3184666207956402E-2</v>
      </c>
      <c r="G143" s="40">
        <f>IF([1]Diskontering!G16&lt;=[1]Diskontering!$A$5,($B$97*[1]Diskontering!G22),0)</f>
        <v>-2.266945140333515E-2</v>
      </c>
      <c r="H143" s="40">
        <f>IF([1]Diskontering!H16&lt;=[1]Diskontering!$A$5,($B$97*[1]Diskontering!H22),0)</f>
        <v>-2.2165685816594376E-2</v>
      </c>
      <c r="I143" s="40">
        <f>IF([1]Diskontering!I16&lt;=[1]Diskontering!$A$5,($B$97*[1]Diskontering!I22),0)</f>
        <v>-2.1673115020670059E-2</v>
      </c>
      <c r="J143" s="40">
        <f>IF([1]Diskontering!J16&lt;=[1]Diskontering!$A$5,($B$97*[1]Diskontering!J22),0)</f>
        <v>-2.1191490242432946E-2</v>
      </c>
      <c r="K143" s="40">
        <f>IF([1]Diskontering!K16&lt;=[1]Diskontering!$A$5,($B$97*[1]Diskontering!K22),0)</f>
        <v>-2.0474869799452122E-2</v>
      </c>
      <c r="L143" s="40">
        <f>IF([1]Diskontering!L16&lt;=[1]Diskontering!$A$5,($B$97*[1]Diskontering!L22),0)</f>
        <v>-1.9782482898021373E-2</v>
      </c>
      <c r="M143" s="40">
        <f>IF([1]Diskontering!M16&lt;=[1]Diskontering!$A$5,($B$97*[1]Diskontering!M22),0)</f>
        <v>-1.9113510046397469E-2</v>
      </c>
      <c r="N143" s="40">
        <f>IF([1]Diskontering!N16&lt;=[1]Diskontering!$A$5,($B$97*[1]Diskontering!N22),0)</f>
        <v>-1.8467159465118326E-2</v>
      </c>
      <c r="O143" s="40">
        <f>IF([1]Diskontering!O16&lt;=[1]Diskontering!$A$5,($B$97*[1]Diskontering!O22),0)</f>
        <v>-1.7842666149872781E-2</v>
      </c>
      <c r="P143" s="40">
        <f>IF([1]Diskontering!P16&lt;=[1]Diskontering!$A$5,($B$97*[1]Diskontering!P22),0)</f>
        <v>-1.7239290966060663E-2</v>
      </c>
      <c r="Q143" s="40">
        <f>IF([1]Diskontering!Q16&lt;=[1]Diskontering!$A$5,($B$97*[1]Diskontering!Q22),0)</f>
        <v>-1.6656319773971653E-2</v>
      </c>
      <c r="R143" s="40">
        <f>IF([1]Diskontering!R16&lt;=[1]Diskontering!$A$5,($B$97*[1]Diskontering!R22),0)</f>
        <v>-1.6093062583547493E-2</v>
      </c>
      <c r="S143" s="40">
        <f>IF([1]Diskontering!S16&lt;=[1]Diskontering!$A$5,($B$97*[1]Diskontering!S22),0)</f>
        <v>-1.5548852737727046E-2</v>
      </c>
      <c r="T143" s="40">
        <f>IF([1]Diskontering!T16&lt;=[1]Diskontering!$A$5,($B$97*[1]Diskontering!T22),0)</f>
        <v>-1.5023046123407777E-2</v>
      </c>
      <c r="U143" s="40">
        <f>IF([1]Diskontering!U16&lt;=[1]Diskontering!$A$5,($B$97*[1]Diskontering!U22),0)</f>
        <v>-1.4515020409089639E-2</v>
      </c>
      <c r="V143" s="40">
        <f>IF([1]Diskontering!V16&lt;=[1]Diskontering!$A$5,($B$97*[1]Diskontering!V22),0)</f>
        <v>-1.4024174308299171E-2</v>
      </c>
      <c r="W143" s="40">
        <f>IF([1]Diskontering!W16&lt;=[1]Diskontering!$A$5,($B$97*[1]Diskontering!W22),0)</f>
        <v>-1.3549926867921907E-2</v>
      </c>
      <c r="X143" s="40">
        <f>IF([1]Diskontering!X16&lt;=[1]Diskontering!$A$5,($B$97*[1]Diskontering!X22),0)</f>
        <v>-1.3091716780600877E-2</v>
      </c>
      <c r="Y143" s="40">
        <f>IF([1]Diskontering!Y16&lt;=[1]Diskontering!$A$5,($B$97*[1]Diskontering!Y22),0)</f>
        <v>-1.2649001720387321E-2</v>
      </c>
      <c r="Z143" s="40">
        <f>IF([1]Diskontering!Z16&lt;=[1]Diskontering!$A$5,($B$97*[1]Diskontering!Z22),0)</f>
        <v>-1.2221257700857316E-2</v>
      </c>
      <c r="AA143" s="40">
        <f>IF([1]Diskontering!AA16&lt;=[1]Diskontering!$A$5,($B$97*[1]Diskontering!AA22),0)</f>
        <v>-1.1807978454934606E-2</v>
      </c>
      <c r="AB143" s="40">
        <f>IF([1]Diskontering!AB16&lt;=[1]Diskontering!$A$5,($B$97*[1]Diskontering!AB22),0)</f>
        <v>-1.140867483568561E-2</v>
      </c>
      <c r="AC143" s="40">
        <f>IF([1]Diskontering!AC16&lt;=[1]Diskontering!$A$5,($B$97*[1]Diskontering!AC22),0)</f>
        <v>-1.1022874237377401E-2</v>
      </c>
      <c r="AD143" s="40">
        <f>IF([1]Diskontering!AD16&lt;=[1]Diskontering!$A$5,($B$97*[1]Diskontering!AD22),0)</f>
        <v>-1.0650120036113431E-2</v>
      </c>
      <c r="AE143" s="40">
        <f>IF([1]Diskontering!AE16&lt;=[1]Diskontering!$A$5,($B$97*[1]Diskontering!AE22),0)</f>
        <v>-1.0289971049384958E-2</v>
      </c>
      <c r="AF143" s="40">
        <f>IF([1]Diskontering!AF16&lt;=[1]Diskontering!$A$5,($B$97*[1]Diskontering!AF22),0)</f>
        <v>-9.9420010138985115E-3</v>
      </c>
      <c r="AG143" s="40">
        <f>IF([1]Diskontering!AG16&lt;=[1]Diskontering!$A$5,($B$97*[1]Diskontering!AG22),0)</f>
        <v>-9.6057980810613647E-3</v>
      </c>
      <c r="AH143" s="40">
        <f>IF([1]Diskontering!AH16&lt;=[1]Diskontering!$A$5,($B$97*[1]Diskontering!AH22),0)</f>
        <v>-9.2809643295278885E-3</v>
      </c>
      <c r="AI143" s="40">
        <f>IF([1]Diskontering!AI16&lt;=[1]Diskontering!$A$5,($B$97*[1]Diskontering!AI22),0)</f>
        <v>-8.9671152942298448E-3</v>
      </c>
      <c r="AJ143" s="40">
        <f>IF([1]Diskontering!AJ16&lt;=[1]Diskontering!$A$5,($B$97*[1]Diskontering!AJ22),0)</f>
        <v>-8.6638795113331835E-3</v>
      </c>
      <c r="AK143" s="40">
        <f>IF([1]Diskontering!AK16&lt;=[1]Diskontering!$A$5,($B$97*[1]Diskontering!AK22),0)</f>
        <v>-8.3708980785827877E-3</v>
      </c>
      <c r="AL143" s="40">
        <f>IF([1]Diskontering!AL16&lt;=[1]Diskontering!$A$5,($B$97*[1]Diskontering!AL22),0)</f>
        <v>-8.0878242305147726E-3</v>
      </c>
      <c r="AM143" s="40">
        <f>IF([1]Diskontering!AM16&lt;=[1]Diskontering!$A$5,($B$97*[1]Diskontering!AM22),0)</f>
        <v>-7.8143229280335964E-3</v>
      </c>
      <c r="AN143" s="40">
        <f>IF([1]Diskontering!AN16&lt;=[1]Diskontering!$A$5,($B$97*[1]Diskontering!AN22),0)</f>
        <v>-7.5500704618682111E-3</v>
      </c>
      <c r="AO143" s="40">
        <f>IF([1]Diskontering!AO16&lt;=[1]Diskontering!$A$5,($B$97*[1]Diskontering!AO22),0)</f>
        <v>-7.2947540694378839E-3</v>
      </c>
      <c r="AP143" s="40">
        <f>IF([1]Diskontering!AP16&lt;=[1]Diskontering!$A$5,($B$97*[1]Diskontering!AP22),0)</f>
        <v>0</v>
      </c>
    </row>
    <row r="144" spans="1:42" s="1" customFormat="1" x14ac:dyDescent="0.25">
      <c r="A144" s="3" t="s">
        <v>515</v>
      </c>
      <c r="B144" s="40">
        <f>IF(Diskontering!B16&lt;=Diskontering!A5,($B$98*Diskontering!B26),0)</f>
        <v>9.7168897037981875E-3</v>
      </c>
      <c r="C144" s="40">
        <f>IF([1]Diskontering!C16&lt;=[1]Diskontering!$A$5,($B$98*[1]Diskontering!C22),0)</f>
        <v>9.5009588214915626E-3</v>
      </c>
      <c r="D144" s="40">
        <f>IF([1]Diskontering!D16&lt;=[1]Diskontering!$A$5,($B$98*[1]Diskontering!D22),0)</f>
        <v>9.2898264032361937E-3</v>
      </c>
      <c r="E144" s="40">
        <f>IF([1]Diskontering!E16&lt;=[1]Diskontering!$A$5,($B$98*[1]Diskontering!E22),0)</f>
        <v>9.083385816497612E-3</v>
      </c>
      <c r="F144" s="40">
        <f>IF([1]Diskontering!F16&lt;=[1]Diskontering!$A$5,($B$98*[1]Diskontering!F22),0)</f>
        <v>8.8815327983532213E-3</v>
      </c>
      <c r="G144" s="40">
        <f>IF([1]Diskontering!G16&lt;=[1]Diskontering!$A$5,($B$98*[1]Diskontering!G22),0)</f>
        <v>8.6841654028342614E-3</v>
      </c>
      <c r="H144" s="40">
        <f>IF([1]Diskontering!H16&lt;=[1]Diskontering!$A$5,($B$98*[1]Diskontering!H22),0)</f>
        <v>8.4911839494379478E-3</v>
      </c>
      <c r="I144" s="40">
        <f>IF([1]Diskontering!I16&lt;=[1]Diskontering!$A$5,($B$98*[1]Diskontering!I22),0)</f>
        <v>8.3024909727837711E-3</v>
      </c>
      <c r="J144" s="40">
        <f>IF([1]Diskontering!J16&lt;=[1]Diskontering!$A$5,($B$98*[1]Diskontering!J22),0)</f>
        <v>8.1179911733885758E-3</v>
      </c>
      <c r="K144" s="40">
        <f>IF([1]Diskontering!K16&lt;=[1]Diskontering!$A$5,($B$98*[1]Diskontering!K22),0)</f>
        <v>7.8434697327425858E-3</v>
      </c>
      <c r="L144" s="40">
        <f>IF([1]Diskontering!L16&lt;=[1]Diskontering!$A$5,($B$98*[1]Diskontering!L22),0)</f>
        <v>7.5782316258382479E-3</v>
      </c>
      <c r="M144" s="40">
        <f>IF([1]Diskontering!M16&lt;=[1]Diskontering!$A$5,($B$98*[1]Diskontering!M22),0)</f>
        <v>7.3219629235152179E-3</v>
      </c>
      <c r="N144" s="40">
        <f>IF([1]Diskontering!N16&lt;=[1]Diskontering!$A$5,($B$98*[1]Diskontering!N22),0)</f>
        <v>7.0743603125750891E-3</v>
      </c>
      <c r="O144" s="40">
        <f>IF([1]Diskontering!O16&lt;=[1]Diskontering!$A$5,($B$98*[1]Diskontering!O22),0)</f>
        <v>6.8351307367875268E-3</v>
      </c>
      <c r="P144" s="40">
        <f>IF([1]Diskontering!P16&lt;=[1]Diskontering!$A$5,($B$98*[1]Diskontering!P22),0)</f>
        <v>6.603991050036259E-3</v>
      </c>
      <c r="Q144" s="40">
        <f>IF([1]Diskontering!Q16&lt;=[1]Diskontering!$A$5,($B$98*[1]Diskontering!Q22),0)</f>
        <v>6.3806676811944529E-3</v>
      </c>
      <c r="R144" s="40">
        <f>IF([1]Diskontering!R16&lt;=[1]Diskontering!$A$5,($B$98*[1]Diskontering!R22),0)</f>
        <v>6.164896310332805E-3</v>
      </c>
      <c r="S144" s="40">
        <f>IF([1]Diskontering!S16&lt;=[1]Diskontering!$A$5,($B$98*[1]Diskontering!S22),0)</f>
        <v>5.9564215558771064E-3</v>
      </c>
      <c r="T144" s="40">
        <f>IF([1]Diskontering!T16&lt;=[1]Diskontering!$A$5,($B$98*[1]Diskontering!T22),0)</f>
        <v>5.7549966723450313E-3</v>
      </c>
      <c r="U144" s="40">
        <f>IF([1]Diskontering!U16&lt;=[1]Diskontering!$A$5,($B$98*[1]Diskontering!U22),0)</f>
        <v>5.5603832583043782E-3</v>
      </c>
      <c r="V144" s="40">
        <f>IF([1]Diskontering!V16&lt;=[1]Diskontering!$A$5,($B$98*[1]Diskontering!V22),0)</f>
        <v>5.3723509742071296E-3</v>
      </c>
      <c r="W144" s="40">
        <f>IF([1]Diskontering!W16&lt;=[1]Diskontering!$A$5,($B$98*[1]Diskontering!W22),0)</f>
        <v>5.1906772697653432E-3</v>
      </c>
      <c r="X144" s="40">
        <f>IF([1]Diskontering!X16&lt;=[1]Diskontering!$A$5,($B$98*[1]Diskontering!X22),0)</f>
        <v>5.015147120546226E-3</v>
      </c>
      <c r="Y144" s="40">
        <f>IF([1]Diskontering!Y16&lt;=[1]Diskontering!$A$5,($B$98*[1]Diskontering!Y22),0)</f>
        <v>4.8455527734746146E-3</v>
      </c>
      <c r="Z144" s="40">
        <f>IF([1]Diskontering!Z16&lt;=[1]Diskontering!$A$5,($B$98*[1]Diskontering!Z22),0)</f>
        <v>4.6816935009416569E-3</v>
      </c>
      <c r="AA144" s="40">
        <f>IF([1]Diskontering!AA16&lt;=[1]Diskontering!$A$5,($B$98*[1]Diskontering!AA22),0)</f>
        <v>4.5233753632286542E-3</v>
      </c>
      <c r="AB144" s="40">
        <f>IF([1]Diskontering!AB16&lt;=[1]Diskontering!$A$5,($B$98*[1]Diskontering!AB22),0)</f>
        <v>4.3704109789648839E-3</v>
      </c>
      <c r="AC144" s="40">
        <f>IF([1]Diskontering!AC16&lt;=[1]Diskontering!$A$5,($B$98*[1]Diskontering!AC22),0)</f>
        <v>4.2226193033477136E-3</v>
      </c>
      <c r="AD144" s="40">
        <f>IF([1]Diskontering!AD16&lt;=[1]Diskontering!$A$5,($B$98*[1]Diskontering!AD22),0)</f>
        <v>4.0798254138625254E-3</v>
      </c>
      <c r="AE144" s="40">
        <f>IF([1]Diskontering!AE16&lt;=[1]Diskontering!$A$5,($B$98*[1]Diskontering!AE22),0)</f>
        <v>3.9418603032488168E-3</v>
      </c>
      <c r="AF144" s="40">
        <f>IF([1]Diskontering!AF16&lt;=[1]Diskontering!$A$5,($B$98*[1]Diskontering!AF22),0)</f>
        <v>3.8085606794674566E-3</v>
      </c>
      <c r="AG144" s="40">
        <f>IF([1]Diskontering!AG16&lt;=[1]Diskontering!$A$5,($B$98*[1]Diskontering!AG22),0)</f>
        <v>3.6797687724323255E-3</v>
      </c>
      <c r="AH144" s="40">
        <f>IF([1]Diskontering!AH16&lt;=[1]Diskontering!$A$5,($B$98*[1]Diskontering!AH22),0)</f>
        <v>3.5553321472776094E-3</v>
      </c>
      <c r="AI144" s="40">
        <f>IF([1]Diskontering!AI16&lt;=[1]Diskontering!$A$5,($B$98*[1]Diskontering!AI22),0)</f>
        <v>3.4351035239397194E-3</v>
      </c>
      <c r="AJ144" s="40">
        <f>IF([1]Diskontering!AJ16&lt;=[1]Diskontering!$A$5,($B$98*[1]Diskontering!AJ22),0)</f>
        <v>3.3189406028403087E-3</v>
      </c>
      <c r="AK144" s="40">
        <f>IF([1]Diskontering!AK16&lt;=[1]Diskontering!$A$5,($B$98*[1]Diskontering!AK22),0)</f>
        <v>3.2067058964640664E-3</v>
      </c>
      <c r="AL144" s="40">
        <f>IF([1]Diskontering!AL16&lt;=[1]Diskontering!$A$5,($B$98*[1]Diskontering!AL22),0)</f>
        <v>3.0982665666319494E-3</v>
      </c>
      <c r="AM144" s="40">
        <f>IF([1]Diskontering!AM16&lt;=[1]Diskontering!$A$5,($B$98*[1]Diskontering!AM22),0)</f>
        <v>2.9934942672772457E-3</v>
      </c>
      <c r="AN144" s="40">
        <f>IF([1]Diskontering!AN16&lt;=[1]Diskontering!$A$5,($B$98*[1]Diskontering!AN22),0)</f>
        <v>2.892264992538402E-3</v>
      </c>
      <c r="AO144" s="40">
        <f>IF([1]Diskontering!AO16&lt;=[1]Diskontering!$A$5,($B$98*[1]Diskontering!AO22),0)</f>
        <v>2.794458929988794E-3</v>
      </c>
      <c r="AP144" s="40">
        <f>IF([1]Diskontering!AP16&lt;=[1]Diskontering!$A$5,($B$98*[1]Diskontering!AP22),0)</f>
        <v>0</v>
      </c>
    </row>
    <row r="145" spans="1:42" s="216" customFormat="1" ht="12.75" x14ac:dyDescent="0.2">
      <c r="A145" s="214" t="s">
        <v>516</v>
      </c>
      <c r="B145" s="215">
        <f>IF(Diskontering!B16&lt;=Diskontering!$A$5,($B$97*'Kalkylvärden 1'!$D$159*Diskontering!B35),0)</f>
        <v>-1.1913484109365234E-2</v>
      </c>
      <c r="C145" s="215">
        <f>IF(Diskontering!C16&lt;=Diskontering!$A$5,($B$97*'Kalkylvärden 1'!$D$159*Diskontering!C35),0)</f>
        <v>-1.1798377982704699E-2</v>
      </c>
      <c r="D145" s="215">
        <f>IF(Diskontering!D16&lt;=Diskontering!$A$5,($B$97*'Kalkylvärden 1'!$D$159*Diskontering!D35),0)</f>
        <v>-1.168438399253364E-2</v>
      </c>
      <c r="E145" s="215">
        <f>IF(Diskontering!E16&lt;=Diskontering!$A$5,($B$97*'Kalkylvärden 1'!$D$159*Diskontering!E35),0)</f>
        <v>-1.1571491393571965E-2</v>
      </c>
      <c r="F145" s="215">
        <f>IF(Diskontering!F16&lt;=Diskontering!$A$5,($B$97*'Kalkylvärden 1'!$D$159*Diskontering!F35),0)</f>
        <v>-1.1459689544358708E-2</v>
      </c>
      <c r="G145" s="215">
        <f>IF(Diskontering!G16&lt;=Diskontering!$A$5,($B$97*'Kalkylvärden 1'!$D$159*Diskontering!G35),0)</f>
        <v>-1.1348967906248963E-2</v>
      </c>
      <c r="H145" s="215">
        <f>IF(Diskontering!H16&lt;=Diskontering!$A$5,($B$97*'Kalkylvärden 1'!$D$159*Diskontering!H35),0)</f>
        <v>-1.1239316042420471E-2</v>
      </c>
      <c r="I145" s="215">
        <f>IF(Diskontering!I16&lt;=Diskontering!$A$5,($B$97*'Kalkylvärden 1'!$D$159*Diskontering!I35),0)</f>
        <v>-1.1130723616889838E-2</v>
      </c>
      <c r="J145" s="215">
        <f>IF(Diskontering!J16&lt;=Diskontering!$A$5,($B$97*'Kalkylvärden 1'!$D$159*Diskontering!J35),0)</f>
        <v>-1.1023180393538244E-2</v>
      </c>
      <c r="K145" s="215">
        <f>IF(Diskontering!K16&lt;=Diskontering!$A$5,($B$97*'Kalkylvärden 1'!$D$159*Diskontering!K35),0)</f>
        <v>-1.0916676235146571E-2</v>
      </c>
      <c r="L145" s="215">
        <f>IF(Diskontering!L16&lt;=Diskontering!$A$5,($B$97*'Kalkylvärden 1'!$D$159*Diskontering!L35),0)</f>
        <v>-1.0811201102439839E-2</v>
      </c>
      <c r="M145" s="215">
        <f>IF(Diskontering!M16&lt;=Diskontering!$A$5,($B$97*'Kalkylvärden 1'!$D$159*Diskontering!M35),0)</f>
        <v>-1.0706745053140905E-2</v>
      </c>
      <c r="N145" s="215">
        <f>IF(Diskontering!N16&lt;=Diskontering!$A$5,($B$97*'Kalkylvärden 1'!$D$159*Diskontering!N35),0)</f>
        <v>-1.0603298241033262E-2</v>
      </c>
      <c r="O145" s="215">
        <f>IF(Diskontering!O16&lt;=Diskontering!$A$5,($B$97*'Kalkylvärden 1'!$D$159*Diskontering!O35),0)</f>
        <v>-1.0500850915032943E-2</v>
      </c>
      <c r="P145" s="215">
        <f>IF(Diskontering!P16&lt;=Diskontering!$A$5,($B$97*'Kalkylvärden 1'!$D$159*Diskontering!P35),0)</f>
        <v>-1.0399393418269339E-2</v>
      </c>
      <c r="Q145" s="215">
        <f>IF(Diskontering!Q16&lt;=Diskontering!$A$5,($B$97*'Kalkylvärden 1'!$D$159*Diskontering!Q35),0)</f>
        <v>-1.0298916187174949E-2</v>
      </c>
      <c r="R145" s="215">
        <f>IF(Diskontering!R16&lt;=Diskontering!$A$5,($B$97*'Kalkylvärden 1'!$D$159*Diskontering!R35),0)</f>
        <v>-1.0199409750583886E-2</v>
      </c>
      <c r="S145" s="215">
        <f>IF(Diskontering!S16&lt;=Diskontering!$A$5,($B$97*'Kalkylvärden 1'!$D$159*Diskontering!S35),0)</f>
        <v>-1.0100864728839112E-2</v>
      </c>
      <c r="T145" s="215">
        <f>IF(Diskontering!T16&lt;=Diskontering!$A$5,($B$97*'Kalkylvärden 1'!$D$159*Diskontering!T35),0)</f>
        <v>-1.0003271832908302E-2</v>
      </c>
      <c r="U145" s="215">
        <f>IF(Diskontering!U16&lt;=Diskontering!$A$5,($B$97*'Kalkylvärden 1'!$D$159*Diskontering!U35),0)</f>
        <v>-9.9066218635082207E-3</v>
      </c>
      <c r="V145" s="215">
        <f>IF(Diskontering!V16&lt;=Diskontering!$A$5,($B$97*'Kalkylvärden 1'!$D$159*Diskontering!V35),0)</f>
        <v>-9.81090571023761E-3</v>
      </c>
      <c r="W145" s="215">
        <f>IF(Diskontering!W16&lt;=Diskontering!$A$5,($B$97*'Kalkylvärden 1'!$D$159*Diskontering!W35),0)</f>
        <v>-9.7161143507184054E-3</v>
      </c>
      <c r="X145" s="215">
        <f>IF(Diskontering!X16&lt;=Diskontering!$A$5,($B$97*'Kalkylvärden 1'!$D$159*Diskontering!X35),0)</f>
        <v>-9.6222388497452811E-3</v>
      </c>
      <c r="Y145" s="215">
        <f>IF(Diskontering!Y16&lt;=Diskontering!$A$5,($B$97*'Kalkylvärden 1'!$D$159*Diskontering!Y35),0)</f>
        <v>-9.5292703584433942E-3</v>
      </c>
      <c r="Z145" s="215">
        <f>IF(Diskontering!Z16&lt;=Diskontering!$A$5,($B$97*'Kalkylvärden 1'!$D$159*Diskontering!Z35),0)</f>
        <v>-9.4372001134342791E-3</v>
      </c>
      <c r="AA145" s="215">
        <f>IF(Diskontering!AA16&lt;=Diskontering!$A$5,($B$97*'Kalkylvärden 1'!$D$159*Diskontering!AA35),0)</f>
        <v>-9.3460194360097931E-3</v>
      </c>
      <c r="AB145" s="215">
        <f>IF(Diskontering!AB16&lt;=Diskontering!$A$5,($B$97*'Kalkylvärden 1'!$D$159*Diskontering!AB35),0)</f>
        <v>-9.2557197313140448E-3</v>
      </c>
      <c r="AC145" s="215">
        <f>IF(Diskontering!AC16&lt;=Diskontering!$A$5,($B$97*'Kalkylvärden 1'!$D$159*Diskontering!AC35),0)</f>
        <v>-9.1662924875332338E-3</v>
      </c>
      <c r="AD145" s="215">
        <f>IF(Diskontering!AD16&lt;=Diskontering!$A$5,($B$97*'Kalkylvärden 1'!$D$159*Diskontering!AD35),0)</f>
        <v>-9.0777292750932985E-3</v>
      </c>
      <c r="AE145" s="215">
        <f>IF(Diskontering!AE16&lt;=Diskontering!$A$5,($B$97*'Kalkylvärden 1'!$D$159*Diskontering!AE35),0)</f>
        <v>-8.9900217458653443E-3</v>
      </c>
      <c r="AF145" s="215">
        <f>IF(Diskontering!AF16&lt;=Diskontering!$A$5,($B$97*'Kalkylvärden 1'!$D$159*Diskontering!AF35),0)</f>
        <v>-8.903161632378722E-3</v>
      </c>
      <c r="AG145" s="215">
        <f>IF(Diskontering!AG16&lt;=Diskontering!$A$5,($B$97*'Kalkylvärden 1'!$D$159*Diskontering!AG35),0)</f>
        <v>-8.8171407470417299E-3</v>
      </c>
      <c r="AH145" s="215">
        <f>IF(Diskontering!AH16&lt;=Diskontering!$A$5,($B$97*'Kalkylvärden 1'!$D$159*Diskontering!AH35),0)</f>
        <v>-8.7319509813698279E-3</v>
      </c>
      <c r="AI145" s="215">
        <f>IF(Diskontering!AI16&lt;=Diskontering!$A$5,($B$97*'Kalkylvärden 1'!$D$159*Diskontering!AI35),0)</f>
        <v>-8.6475843052213272E-3</v>
      </c>
      <c r="AJ145" s="215">
        <f>IF(Diskontering!AJ16&lt;=Diskontering!$A$5,($B$97*'Kalkylvärden 1'!$D$159*Diskontering!AJ35),0)</f>
        <v>-8.5640327660404438E-3</v>
      </c>
      <c r="AK145" s="215">
        <f>IF(Diskontering!AK16&lt;=Diskontering!$A$5,($B$97*'Kalkylvärden 1'!$D$159*Diskontering!AK35),0)</f>
        <v>-8.4812884881076862E-3</v>
      </c>
      <c r="AL145" s="215">
        <f>IF(Diskontering!AL16&lt;=Diskontering!$A$5,($B$97*'Kalkylvärden 1'!$D$159*Diskontering!AL35),0)</f>
        <v>-8.3993436717974684E-3</v>
      </c>
      <c r="AM145" s="215">
        <f>IF(Diskontering!AM16&lt;=Diskontering!$A$5,($B$97*'Kalkylvärden 1'!$D$159*Diskontering!AM35),0)</f>
        <v>-8.3181905928429029E-3</v>
      </c>
      <c r="AN145" s="215">
        <f>IF(Diskontering!AN16&lt;=Diskontering!$A$5,($B$97*'Kalkylvärden 1'!$D$159*Diskontering!AN35),0)</f>
        <v>-8.2378216016077057E-3</v>
      </c>
      <c r="AO145" s="215">
        <f>IF(Diskontering!AO16&lt;=Diskontering!$A$5,($B$97*'Kalkylvärden 1'!$D$159*Diskontering!AO35),0)</f>
        <v>-8.1582291223651193E-3</v>
      </c>
      <c r="AP145" s="215">
        <f>IF(Diskontering!AP16&lt;=Diskontering!$A$5,($B$97*'Kalkylvärden 1'!$D$159*Diskontering!AP35),0)</f>
        <v>-8.0794056525838147E-3</v>
      </c>
    </row>
    <row r="146" spans="1:42" s="216" customFormat="1" ht="12.75" x14ac:dyDescent="0.2">
      <c r="A146" s="214" t="s">
        <v>517</v>
      </c>
      <c r="B146" s="215">
        <f>IF(Diskontering!C16&lt;=Diskontering!$A$5,($B$97*'Kalkylvärden 1'!$D$159*Diskontering!B26),0)</f>
        <v>-1.1913484109365234E-2</v>
      </c>
      <c r="C146" s="215">
        <f>IF(Diskontering!D16&lt;=Diskontering!$A$5,($B$97*'Kalkylvärden 1'!$D$159*Diskontering!C26),0)</f>
        <v>-1.1625718792713902E-2</v>
      </c>
      <c r="D146" s="215">
        <f>IF(Diskontering!E16&lt;=Diskontering!$A$5,($B$97*'Kalkylvärden 1'!$D$159*Diskontering!D26),0)</f>
        <v>-1.1344904329121778E-2</v>
      </c>
      <c r="E146" s="215">
        <f>IF(Diskontering!F16&lt;=Diskontering!$A$5,($B$97*'Kalkylvärden 1'!$D$159*Diskontering!E26),0)</f>
        <v>-1.1070872823587437E-2</v>
      </c>
      <c r="F146" s="215">
        <f>IF(Diskontering!G16&lt;=Diskontering!$A$5,($B$97*'Kalkylvärden 1'!$D$159*Diskontering!F26),0)</f>
        <v>-1.0803460436544263E-2</v>
      </c>
      <c r="G146" s="215">
        <f>IF(Diskontering!H16&lt;=Diskontering!$A$5,($B$97*'Kalkylvärden 1'!$D$159*Diskontering!G26),0)</f>
        <v>-1.0542507285903099E-2</v>
      </c>
      <c r="H146" s="215">
        <f>IF(Diskontering!I16&lt;=Diskontering!$A$5,($B$97*'Kalkylvärden 1'!$D$159*Diskontering!H26),0)</f>
        <v>-1.0287857351460995E-2</v>
      </c>
      <c r="I146" s="215">
        <f>IF(Diskontering!J16&lt;=Diskontering!$A$5,($B$97*'Kalkylvärden 1'!$D$159*Diskontering!I26),0)</f>
        <v>-1.0039358381618943E-2</v>
      </c>
      <c r="J146" s="215">
        <f>IF(Diskontering!K16&lt;=Diskontering!$A$5,($B$97*'Kalkylvärden 1'!$D$159*Diskontering!J26),0)</f>
        <v>-9.7968618023527854E-3</v>
      </c>
      <c r="K146" s="215">
        <f>IF(Diskontering!L16&lt;=Diskontering!$A$5,($B$97*'Kalkylvärden 1'!$D$159*Diskontering!K26),0)</f>
        <v>-9.5602226283829118E-3</v>
      </c>
      <c r="L146" s="215">
        <f>IF(Diskontering!M16&lt;=Diskontering!$A$5,($B$97*'Kalkylvärden 1'!$D$159*Diskontering!L26),0)</f>
        <v>-9.3292993764896061E-3</v>
      </c>
      <c r="M146" s="215">
        <f>IF(Diskontering!N16&lt;=Diskontering!$A$5,($B$97*'Kalkylvärden 1'!$D$159*Diskontering!M26),0)</f>
        <v>-9.1039539809222268E-3</v>
      </c>
      <c r="N146" s="215">
        <f>IF(Diskontering!O16&lt;=Diskontering!$A$5,($B$97*'Kalkylvärden 1'!$D$159*Diskontering!N26),0)</f>
        <v>-8.8840517108516419E-3</v>
      </c>
      <c r="O146" s="215">
        <f>IF(Diskontering!P16&lt;=Diskontering!$A$5,($B$97*'Kalkylvärden 1'!$D$159*Diskontering!O26),0)</f>
        <v>-8.6694610898165794E-3</v>
      </c>
      <c r="P146" s="215">
        <f>IF(Diskontering!Q16&lt;=Diskontering!$A$5,($B$97*'Kalkylvärden 1'!$D$159*Diskontering!P26),0)</f>
        <v>-8.4600538171156967E-3</v>
      </c>
      <c r="Q146" s="215">
        <f>IF(Diskontering!R16&lt;=Diskontering!$A$5,($B$97*'Kalkylvärden 1'!$D$159*Diskontering!Q26),0)</f>
        <v>-8.2557046910984103E-3</v>
      </c>
      <c r="R146" s="215">
        <f>IF(Diskontering!S16&lt;=Diskontering!$A$5,($B$97*'Kalkylvärden 1'!$D$159*Diskontering!R26),0)</f>
        <v>-8.056291534308594E-3</v>
      </c>
      <c r="S146" s="215">
        <f>IF(Diskontering!T16&lt;=Diskontering!$A$5,($B$97*'Kalkylvärden 1'!$D$159*Diskontering!S26),0)</f>
        <v>-7.861695120436404E-3</v>
      </c>
      <c r="T146" s="215">
        <f>IF(Diskontering!U16&lt;=Diskontering!$A$5,($B$97*'Kalkylvärden 1'!$D$159*Diskontering!T26),0)</f>
        <v>-7.6717991030345618E-3</v>
      </c>
      <c r="U146" s="215">
        <f>IF(Diskontering!V16&lt;=Diskontering!$A$5,($B$97*'Kalkylvärden 1'!$D$159*Diskontering!U26),0)</f>
        <v>-7.4864899459564328E-3</v>
      </c>
      <c r="V146" s="215">
        <f>IF(Diskontering!W16&lt;=Diskontering!$A$5,($B$97*'Kalkylvärden 1'!$D$159*Diskontering!V26),0)</f>
        <v>-7.3056568554743951E-3</v>
      </c>
      <c r="W146" s="215">
        <f>IF(Diskontering!X16&lt;=Diskontering!$A$5,($B$97*'Kalkylvärden 1'!$D$159*Diskontering!W26),0)</f>
        <v>-7.129191714037815E-3</v>
      </c>
      <c r="X146" s="215">
        <f>IF(Diskontering!Y16&lt;=Diskontering!$A$5,($B$97*'Kalkylvärden 1'!$D$159*Diskontering!X26),0)</f>
        <v>-6.9569890156311069E-3</v>
      </c>
      <c r="Y146" s="215">
        <f>IF(Diskontering!Z16&lt;=Diskontering!$A$5,($B$97*'Kalkylvärden 1'!$D$159*Diskontering!Y26),0)</f>
        <v>-6.7889458026931578E-3</v>
      </c>
      <c r="Z146" s="215">
        <f>IF(Diskontering!AA16&lt;=Diskontering!$A$5,($B$97*'Kalkylvärden 1'!$D$159*Diskontering!Z26),0)</f>
        <v>-6.6249616045604733E-3</v>
      </c>
      <c r="AA146" s="215">
        <f>IF(Diskontering!AB16&lt;=Diskontering!$A$5,($B$97*'Kalkylvärden 1'!$D$159*Diskontering!AA26),0)</f>
        <v>-6.4649383773971768E-3</v>
      </c>
      <c r="AB146" s="215">
        <f>IF(Diskontering!AC16&lt;=Diskontering!$A$5,($B$97*'Kalkylvärden 1'!$D$159*Diskontering!AB26),0)</f>
        <v>-6.3087804455759892E-3</v>
      </c>
      <c r="AC146" s="215">
        <f>IF(Diskontering!AD16&lt;=Diskontering!$A$5,($B$97*'Kalkylvärden 1'!$D$159*Diskontering!AC26),0)</f>
        <v>-6.1563944444751198E-3</v>
      </c>
      <c r="AD146" s="215">
        <f>IF(Diskontering!AE16&lt;=Diskontering!$A$5,($B$97*'Kalkylvärden 1'!$D$159*Diskontering!AD26),0)</f>
        <v>-6.0076892646568816E-3</v>
      </c>
      <c r="AE146" s="215">
        <f>IF(Diskontering!AF16&lt;=Diskontering!$A$5,($B$97*'Kalkylvärden 1'!$D$159*Diskontering!AE26),0)</f>
        <v>-5.8625759973946392E-3</v>
      </c>
      <c r="AF146" s="215">
        <f>IF(Diskontering!AG16&lt;=Diskontering!$A$5,($B$97*'Kalkylvärden 1'!$D$159*Diskontering!AF26),0)</f>
        <v>-5.7209678815155424E-3</v>
      </c>
      <c r="AG146" s="215">
        <f>IF(Diskontering!AH16&lt;=Diskontering!$A$5,($B$97*'Kalkylvärden 1'!$D$159*Diskontering!AG26),0)</f>
        <v>-5.5827802515272442E-3</v>
      </c>
      <c r="AH146" s="215">
        <f>IF(Diskontering!AI16&lt;=Diskontering!$A$5,($B$97*'Kalkylvärden 1'!$D$159*Diskontering!AH26),0)</f>
        <v>-5.4479304869976012E-3</v>
      </c>
      <c r="AI146" s="215">
        <f>IF(Diskontering!AJ16&lt;=Diskontering!$A$5,($B$97*'Kalkylvärden 1'!$D$159*Diskontering!AI26),0)</f>
        <v>-5.3163379631570801E-3</v>
      </c>
      <c r="AJ146" s="215">
        <f>IF(Diskontering!AK16&lt;=Diskontering!$A$5,($B$97*'Kalkylvärden 1'!$D$159*Diskontering!AJ26),0)</f>
        <v>-5.18792400269435E-3</v>
      </c>
      <c r="AK146" s="215">
        <f>IF(Diskontering!AL16&lt;=Diskontering!$A$5,($B$97*'Kalkylvärden 1'!$D$159*Diskontering!AK26),0)</f>
        <v>-5.0626118287162248E-3</v>
      </c>
      <c r="AL146" s="215">
        <f>IF(Diskontering!AM16&lt;=Diskontering!$A$5,($B$97*'Kalkylvärden 1'!$D$159*Diskontering!AL26),0)</f>
        <v>-4.9403265188438525E-3</v>
      </c>
      <c r="AM146" s="215">
        <f>IF(Diskontering!AN16&lt;=Diskontering!$A$5,($B$97*'Kalkylvärden 1'!$D$159*Diskontering!AM26),0)</f>
        <v>-4.8209949604176728E-3</v>
      </c>
      <c r="AN146" s="215">
        <f>IF(Diskontering!AO16&lt;=Diskontering!$A$5,($B$97*'Kalkylvärden 1'!$D$159*Diskontering!AN26),0)</f>
        <v>-4.7045458067843972E-3</v>
      </c>
      <c r="AO146" s="215">
        <f>IF(Diskontering!AP16&lt;=Diskontering!$A$5,($B$97*'Kalkylvärden 1'!$D$159*Diskontering!AO26),0)</f>
        <v>-4.5909094346398465E-3</v>
      </c>
      <c r="AP146" s="215">
        <f>IF(Diskontering!AQ16&lt;=Diskontering!$A$5,($B$97*'Kalkylvärden 1'!$D$159*Diskontering!AP26),0)</f>
        <v>-4.4800179024021697E-3</v>
      </c>
    </row>
    <row r="147" spans="1:42" s="1" customFormat="1" x14ac:dyDescent="0.25">
      <c r="A147" s="3" t="s">
        <v>518</v>
      </c>
      <c r="B147" s="40">
        <f>B145-B146</f>
        <v>0</v>
      </c>
      <c r="C147" s="40">
        <f t="shared" ref="C147:AP147" si="18">C145-C146</f>
        <v>-1.7265918999079775E-4</v>
      </c>
      <c r="D147" s="40">
        <f t="shared" si="18"/>
        <v>-3.3947966341186207E-4</v>
      </c>
      <c r="E147" s="40">
        <f t="shared" si="18"/>
        <v>-5.0061856998452788E-4</v>
      </c>
      <c r="F147" s="40">
        <f t="shared" si="18"/>
        <v>-6.5622910781444437E-4</v>
      </c>
      <c r="G147" s="40">
        <f t="shared" si="18"/>
        <v>-8.0646062034586338E-4</v>
      </c>
      <c r="H147" s="40">
        <f t="shared" si="18"/>
        <v>-9.5145869095947591E-4</v>
      </c>
      <c r="I147" s="40">
        <f t="shared" si="18"/>
        <v>-1.0913652352708952E-3</v>
      </c>
      <c r="J147" s="40">
        <f t="shared" si="18"/>
        <v>-1.2263185911854588E-3</v>
      </c>
      <c r="K147" s="40">
        <f t="shared" si="18"/>
        <v>-1.3564536067636589E-3</v>
      </c>
      <c r="L147" s="40">
        <f t="shared" si="18"/>
        <v>-1.481901725950233E-3</v>
      </c>
      <c r="M147" s="40">
        <f t="shared" si="18"/>
        <v>-1.6027910722186782E-3</v>
      </c>
      <c r="N147" s="40">
        <f t="shared" si="18"/>
        <v>-1.7192465301816198E-3</v>
      </c>
      <c r="O147" s="40">
        <f t="shared" si="18"/>
        <v>-1.8313898252163632E-3</v>
      </c>
      <c r="P147" s="40">
        <f t="shared" si="18"/>
        <v>-1.9393396011536425E-3</v>
      </c>
      <c r="Q147" s="40">
        <f t="shared" si="18"/>
        <v>-2.0432114960765389E-3</v>
      </c>
      <c r="R147" s="40">
        <f t="shared" si="18"/>
        <v>-2.1431182162752922E-3</v>
      </c>
      <c r="S147" s="40">
        <f t="shared" si="18"/>
        <v>-2.2391696084027076E-3</v>
      </c>
      <c r="T147" s="40">
        <f t="shared" si="18"/>
        <v>-2.3314727298737407E-3</v>
      </c>
      <c r="U147" s="40">
        <f t="shared" si="18"/>
        <v>-2.4201319175517879E-3</v>
      </c>
      <c r="V147" s="40">
        <f t="shared" si="18"/>
        <v>-2.5052488547632149E-3</v>
      </c>
      <c r="W147" s="40">
        <f t="shared" si="18"/>
        <v>-2.5869226366805904E-3</v>
      </c>
      <c r="X147" s="40">
        <f t="shared" si="18"/>
        <v>-2.6652498341141742E-3</v>
      </c>
      <c r="Y147" s="40">
        <f t="shared" si="18"/>
        <v>-2.7403245557502363E-3</v>
      </c>
      <c r="Z147" s="40">
        <f t="shared" si="18"/>
        <v>-2.8122385088738058E-3</v>
      </c>
      <c r="AA147" s="40">
        <f t="shared" si="18"/>
        <v>-2.8810810586126162E-3</v>
      </c>
      <c r="AB147" s="40">
        <f t="shared" si="18"/>
        <v>-2.9469392857380556E-3</v>
      </c>
      <c r="AC147" s="40">
        <f t="shared" si="18"/>
        <v>-3.0098980430581139E-3</v>
      </c>
      <c r="AD147" s="40">
        <f t="shared" si="18"/>
        <v>-3.0700400104364169E-3</v>
      </c>
      <c r="AE147" s="40">
        <f t="shared" si="18"/>
        <v>-3.1274457484707051E-3</v>
      </c>
      <c r="AF147" s="40">
        <f t="shared" si="18"/>
        <v>-3.1821937508631796E-3</v>
      </c>
      <c r="AG147" s="40">
        <f t="shared" si="18"/>
        <v>-3.2343604955144857E-3</v>
      </c>
      <c r="AH147" s="40">
        <f t="shared" si="18"/>
        <v>-3.2840204943722267E-3</v>
      </c>
      <c r="AI147" s="40">
        <f t="shared" si="18"/>
        <v>-3.3312463420642471E-3</v>
      </c>
      <c r="AJ147" s="40">
        <f t="shared" si="18"/>
        <v>-3.3761087633460939E-3</v>
      </c>
      <c r="AK147" s="40">
        <f t="shared" si="18"/>
        <v>-3.4186766593914614E-3</v>
      </c>
      <c r="AL147" s="40">
        <f t="shared" si="18"/>
        <v>-3.4590171529536159E-3</v>
      </c>
      <c r="AM147" s="40">
        <f t="shared" si="18"/>
        <v>-3.4971956324252301E-3</v>
      </c>
      <c r="AN147" s="40">
        <f t="shared" si="18"/>
        <v>-3.5332757948233085E-3</v>
      </c>
      <c r="AO147" s="40">
        <f t="shared" si="18"/>
        <v>-3.5673196877252728E-3</v>
      </c>
      <c r="AP147" s="40">
        <f t="shared" si="18"/>
        <v>-3.599387750181645E-3</v>
      </c>
    </row>
    <row r="148" spans="1:42" s="218" customFormat="1" ht="12.75" x14ac:dyDescent="0.2">
      <c r="A148" s="217" t="s">
        <v>519</v>
      </c>
      <c r="B148" s="217">
        <f>B143+B144+B147</f>
        <v>-1.564842160866585E-2</v>
      </c>
      <c r="C148" s="217">
        <f t="shared" ref="C148:AP148" si="19">C143+C144+C147</f>
        <v>-1.5473338096241849E-2</v>
      </c>
      <c r="D148" s="217">
        <f t="shared" si="19"/>
        <v>-1.5300143482857336E-2</v>
      </c>
      <c r="E148" s="217">
        <f t="shared" si="19"/>
        <v>-1.5128823193442326E-2</v>
      </c>
      <c r="F148" s="217">
        <f t="shared" si="19"/>
        <v>-1.4959362517417625E-2</v>
      </c>
      <c r="G148" s="217">
        <f t="shared" si="19"/>
        <v>-1.4791746620846752E-2</v>
      </c>
      <c r="H148" s="217">
        <f t="shared" si="19"/>
        <v>-1.4625960558115905E-2</v>
      </c>
      <c r="I148" s="217">
        <f t="shared" si="19"/>
        <v>-1.4461989283157183E-2</v>
      </c>
      <c r="J148" s="217">
        <f t="shared" si="19"/>
        <v>-1.4299817660229829E-2</v>
      </c>
      <c r="K148" s="217">
        <f t="shared" si="19"/>
        <v>-1.3987853673473195E-2</v>
      </c>
      <c r="L148" s="217">
        <f t="shared" si="19"/>
        <v>-1.3686152998133359E-2</v>
      </c>
      <c r="M148" s="217">
        <f t="shared" si="19"/>
        <v>-1.3394338195100931E-2</v>
      </c>
      <c r="N148" s="217">
        <f t="shared" si="19"/>
        <v>-1.3112045682724857E-2</v>
      </c>
      <c r="O148" s="217">
        <f t="shared" si="19"/>
        <v>-1.2838925238301617E-2</v>
      </c>
      <c r="P148" s="217">
        <f t="shared" si="19"/>
        <v>-1.2574639517178045E-2</v>
      </c>
      <c r="Q148" s="217">
        <f t="shared" si="19"/>
        <v>-1.2318863588853739E-2</v>
      </c>
      <c r="R148" s="217">
        <f t="shared" si="19"/>
        <v>-1.2071284489489981E-2</v>
      </c>
      <c r="S148" s="217">
        <f t="shared" si="19"/>
        <v>-1.1831600790252647E-2</v>
      </c>
      <c r="T148" s="217">
        <f t="shared" si="19"/>
        <v>-1.1599522180936487E-2</v>
      </c>
      <c r="U148" s="217">
        <f t="shared" si="19"/>
        <v>-1.1374769068337048E-2</v>
      </c>
      <c r="V148" s="217">
        <f t="shared" si="19"/>
        <v>-1.1157072188855257E-2</v>
      </c>
      <c r="W148" s="217">
        <f t="shared" si="19"/>
        <v>-1.0946172234837154E-2</v>
      </c>
      <c r="X148" s="217">
        <f t="shared" si="19"/>
        <v>-1.0741819494168827E-2</v>
      </c>
      <c r="Y148" s="217">
        <f t="shared" si="19"/>
        <v>-1.0543773502662942E-2</v>
      </c>
      <c r="Z148" s="217">
        <f t="shared" si="19"/>
        <v>-1.0351802708789465E-2</v>
      </c>
      <c r="AA148" s="217">
        <f t="shared" si="19"/>
        <v>-1.0165684150318568E-2</v>
      </c>
      <c r="AB148" s="217">
        <f t="shared" si="19"/>
        <v>-9.9852031424587824E-3</v>
      </c>
      <c r="AC148" s="217">
        <f t="shared" si="19"/>
        <v>-9.8101529770878021E-3</v>
      </c>
      <c r="AD148" s="217">
        <f t="shared" si="19"/>
        <v>-9.6403346326873231E-3</v>
      </c>
      <c r="AE148" s="217">
        <f t="shared" si="19"/>
        <v>-9.4755564946068464E-3</v>
      </c>
      <c r="AF148" s="217">
        <f t="shared" si="19"/>
        <v>-9.3156340852942332E-3</v>
      </c>
      <c r="AG148" s="217">
        <f t="shared" si="19"/>
        <v>-9.160389804143524E-3</v>
      </c>
      <c r="AH148" s="217">
        <f t="shared" si="19"/>
        <v>-9.0096526766225045E-3</v>
      </c>
      <c r="AI148" s="217">
        <f t="shared" si="19"/>
        <v>-8.8632581123543712E-3</v>
      </c>
      <c r="AJ148" s="217">
        <f t="shared" si="19"/>
        <v>-8.721047671838969E-3</v>
      </c>
      <c r="AK148" s="217">
        <f t="shared" si="19"/>
        <v>-8.5828688415101814E-3</v>
      </c>
      <c r="AL148" s="217">
        <f t="shared" si="19"/>
        <v>-8.4485748168364391E-3</v>
      </c>
      <c r="AM148" s="217">
        <f t="shared" si="19"/>
        <v>-8.31802429318158E-3</v>
      </c>
      <c r="AN148" s="217">
        <f t="shared" si="19"/>
        <v>-8.1910812641531171E-3</v>
      </c>
      <c r="AO148" s="217">
        <f t="shared" si="19"/>
        <v>-8.0676148271743627E-3</v>
      </c>
      <c r="AP148" s="217">
        <f t="shared" si="19"/>
        <v>-3.599387750181645E-3</v>
      </c>
    </row>
    <row r="149" spans="1:42" s="1" customFormat="1" x14ac:dyDescent="0.25">
      <c r="A149" s="36" t="s">
        <v>520</v>
      </c>
      <c r="B149" s="40">
        <f>IF(Diskontering!B16&lt;=Diskontering!$A$5,($B$101*Diskontering!B26),0)</f>
        <v>-9.0445151569979367E-3</v>
      </c>
      <c r="C149" s="40">
        <f>IF(Diskontering!C16&lt;=Diskontering!$A$5,($B$101*Diskontering!C26),0)</f>
        <v>-8.8260486073119971E-3</v>
      </c>
      <c r="D149" s="40">
        <f>IF(Diskontering!D16&lt;=Diskontering!$A$5,($B$101*Diskontering!D26),0)</f>
        <v>-8.6128590274252327E-3</v>
      </c>
      <c r="E149" s="40">
        <f>IF(Diskontering!E16&lt;=Diskontering!$A$5,($B$101*Diskontering!E26),0)</f>
        <v>-8.4048189542990214E-3</v>
      </c>
      <c r="F149" s="40">
        <f>IF(Diskontering!F16&lt;=Diskontering!$A$5,($B$101*Diskontering!F26),0)</f>
        <v>-8.2018040037120897E-3</v>
      </c>
      <c r="G149" s="40">
        <f>IF(Diskontering!G16&lt;=Diskontering!$A$5,($B$101*Diskontering!G26),0)</f>
        <v>-8.0036927958929572E-3</v>
      </c>
      <c r="H149" s="40">
        <f>IF(Diskontering!H16&lt;=Diskontering!$A$5,($B$101*Diskontering!H26),0)</f>
        <v>-7.8103668829486838E-3</v>
      </c>
      <c r="I149" s="40">
        <f>IF(Diskontering!I16&lt;=Diskontering!$A$5,($B$101*Diskontering!I26),0)</f>
        <v>-7.6217106780465419E-3</v>
      </c>
      <c r="J149" s="40">
        <f>IF(Diskontering!J16&lt;=Diskontering!$A$5,($B$101*Diskontering!J26),0)</f>
        <v>-7.4376113863062875E-3</v>
      </c>
      <c r="K149" s="40">
        <f>IF(Diskontering!K16&lt;=Diskontering!$A$5,($B$101*Diskontering!K26),0)</f>
        <v>-7.2579589373616927E-3</v>
      </c>
      <c r="L149" s="40">
        <f>IF(Diskontering!L16&lt;=Diskontering!$A$5,($B$101*Diskontering!L26),0)</f>
        <v>-7.0826459195510241E-3</v>
      </c>
      <c r="M149" s="40">
        <f>IF(Diskontering!M16&lt;=Diskontering!$A$5,($B$101*Diskontering!M26),0)</f>
        <v>-6.9115675156971364E-3</v>
      </c>
      <c r="N149" s="40">
        <f>IF(Diskontering!N16&lt;=Diskontering!$A$5,($B$101*Diskontering!N26),0)</f>
        <v>-6.7446214404387516E-3</v>
      </c>
      <c r="O149" s="40">
        <f>IF(Diskontering!O16&lt;=Diskontering!$A$5,($B$101*Diskontering!O26),0)</f>
        <v>-6.5817078790754982E-3</v>
      </c>
      <c r="P149" s="40">
        <f>IF(Diskontering!P16&lt;=Diskontering!$A$5,($B$101*Diskontering!P26),0)</f>
        <v>-6.4227294278900995E-3</v>
      </c>
      <c r="Q149" s="40">
        <f>IF(Diskontering!Q16&lt;=Diskontering!$A$5,($B$101*Diskontering!Q26),0)</f>
        <v>-6.2675910359120792E-3</v>
      </c>
      <c r="R149" s="40">
        <f>IF(Diskontering!R16&lt;=Diskontering!$A$5,($B$101*Diskontering!R26),0)</f>
        <v>-6.1161999480881168E-3</v>
      </c>
      <c r="S149" s="40">
        <f>IF(Diskontering!S16&lt;=Diskontering!$A$5,($B$101*Diskontering!S26),0)</f>
        <v>-5.9684656498251174E-3</v>
      </c>
      <c r="T149" s="40">
        <f>IF(Diskontering!T16&lt;=Diskontering!$A$5,($B$101*Diskontering!T26),0)</f>
        <v>-5.8242998128728218E-3</v>
      </c>
      <c r="U149" s="40">
        <f>IF(Diskontering!U16&lt;=Diskontering!$A$5,($B$101*Diskontering!U26),0)</f>
        <v>-5.683616242513575E-3</v>
      </c>
      <c r="V149" s="40">
        <f>IF(Diskontering!V16&lt;=Diskontering!$A$5,($B$101*Diskontering!V26),0)</f>
        <v>-5.5463308260277414E-3</v>
      </c>
      <c r="W149" s="40">
        <f>IF(Diskontering!W16&lt;=Diskontering!$A$5,($B$101*Diskontering!W26),0)</f>
        <v>-5.4123614824038825E-3</v>
      </c>
      <c r="X149" s="40">
        <f>IF(Diskontering!X16&lt;=Diskontering!$A$5,($B$101*Diskontering!X26),0)</f>
        <v>-5.2816281132636936E-3</v>
      </c>
      <c r="Y149" s="40">
        <f>IF(Diskontering!Y16&lt;=Diskontering!$A$5,($B$101*Diskontering!Y26),0)</f>
        <v>-5.1540525549723009E-3</v>
      </c>
      <c r="Z149" s="40">
        <f>IF(Diskontering!Z16&lt;=Diskontering!$A$5,($B$101*Diskontering!Z26),0)</f>
        <v>-5.0295585319053374E-3</v>
      </c>
      <c r="AA149" s="40">
        <f>IF(Diskontering!AA16&lt;=Diskontering!$A$5,($B$101*Diskontering!AA26),0)</f>
        <v>-4.9080716108448217E-3</v>
      </c>
      <c r="AB149" s="40">
        <f>IF(Diskontering!AB16&lt;=Diskontering!$A$5,($B$101*Diskontering!AB26),0)</f>
        <v>-4.7895191564765894E-3</v>
      </c>
      <c r="AC149" s="40">
        <f>IF(Diskontering!AC16&lt;=Diskontering!$A$5,($B$101*Diskontering!AC26),0)</f>
        <v>-4.6738302879626619E-3</v>
      </c>
      <c r="AD149" s="40">
        <f>IF(Diskontering!AD16&lt;=Diskontering!$A$5,($B$101*Diskontering!AD26),0)</f>
        <v>-4.560935836562599E-3</v>
      </c>
      <c r="AE149" s="40">
        <f>IF(Diskontering!AE16&lt;=Diskontering!$A$5,($B$101*Diskontering!AE26),0)</f>
        <v>-4.4507683042784791E-3</v>
      </c>
      <c r="AF149" s="40">
        <f>IF(Diskontering!AF16&lt;=Diskontering!$A$5,($B$101*Diskontering!AF26),0)</f>
        <v>-4.3432618234988066E-3</v>
      </c>
      <c r="AG149" s="40">
        <f>IF(Diskontering!AG16&lt;=Diskontering!$A$5,($B$101*Diskontering!AG26),0)</f>
        <v>-4.2383521176171928E-3</v>
      </c>
      <c r="AH149" s="40">
        <f>IF(Diskontering!AH16&lt;=Diskontering!$A$5,($B$101*Diskontering!AH26),0)</f>
        <v>-4.135976462602285E-3</v>
      </c>
      <c r="AI149" s="40">
        <f>IF(Diskontering!AI16&lt;=Diskontering!$A$5,($B$101*Diskontering!AI26),0)</f>
        <v>-4.0360736494959503E-3</v>
      </c>
      <c r="AJ149" s="40">
        <f>IF(Diskontering!AJ16&lt;=Diskontering!$A$5,($B$101*Diskontering!AJ26),0)</f>
        <v>-3.9385839478173045E-3</v>
      </c>
      <c r="AK149" s="40">
        <f>IF(Diskontering!AK16&lt;=Diskontering!$A$5,($B$101*Diskontering!AK26),0)</f>
        <v>-3.843449069850703E-3</v>
      </c>
      <c r="AL149" s="40">
        <f>IF(Diskontering!AL16&lt;=Diskontering!$A$5,($B$101*Diskontering!AL26),0)</f>
        <v>-3.7506121357963385E-3</v>
      </c>
      <c r="AM149" s="40">
        <f>IF(Diskontering!AM16&lt;=Diskontering!$A$5,($B$101*Diskontering!AM26),0)</f>
        <v>-3.6600176397626107E-3</v>
      </c>
      <c r="AN149" s="40">
        <f>IF(Diskontering!AN16&lt;=Diskontering!$A$5,($B$101*Diskontering!AN26),0)</f>
        <v>-3.5716114165799395E-3</v>
      </c>
      <c r="AO149" s="40">
        <f>IF(Diskontering!AO16&lt;=Diskontering!$A$5,($B$101*Diskontering!AO26),0)</f>
        <v>-3.4853406094161733E-3</v>
      </c>
      <c r="AP149" s="40">
        <f>IF(Diskontering!AP16&lt;=Diskontering!$A$5,($B$101*Diskontering!AP26),0)</f>
        <v>-3.4011536381742371E-3</v>
      </c>
    </row>
    <row r="150" spans="1:42" s="218" customFormat="1" ht="12.75" x14ac:dyDescent="0.2">
      <c r="A150" s="217" t="s">
        <v>521</v>
      </c>
      <c r="B150" s="217">
        <f>IF(Diskontering!B16&lt;=Diskontering!$A$5,($B$101*'Kalkylvärden 1'!$D$162*Diskontering!B35),0)</f>
        <v>-3.4143952801518312E-3</v>
      </c>
      <c r="C150" s="217">
        <f>IF(Diskontering!C16&lt;=Diskontering!$A$5,($B$101*'Kalkylvärden 1'!$D$162*Diskontering!C35),0)</f>
        <v>-3.3814059537735524E-3</v>
      </c>
      <c r="D150" s="217">
        <f>IF(Diskontering!D16&lt;=Diskontering!$A$5,($B$101*'Kalkylvärden 1'!$D$162*Diskontering!D35),0)</f>
        <v>-3.3487353648482044E-3</v>
      </c>
      <c r="E150" s="217">
        <f>IF(Diskontering!E16&lt;=Diskontering!$A$5,($B$101*'Kalkylvärden 1'!$D$162*Diskontering!E35),0)</f>
        <v>-3.3163804337868696E-3</v>
      </c>
      <c r="F150" s="217">
        <f>IF(Diskontering!F16&lt;=Diskontering!$A$5,($B$101*'Kalkylvärden 1'!$D$162*Diskontering!F35),0)</f>
        <v>-3.2843381107551116E-3</v>
      </c>
      <c r="G150" s="217">
        <f>IF(Diskontering!G16&lt;=Diskontering!$A$5,($B$101*'Kalkylvärden 1'!$D$162*Diskontering!G35),0)</f>
        <v>-3.2526053753854974E-3</v>
      </c>
      <c r="H150" s="217">
        <f>IF(Diskontering!H16&lt;=Diskontering!$A$5,($B$101*'Kalkylvärden 1'!$D$162*Diskontering!H35),0)</f>
        <v>-3.2211792364928841E-3</v>
      </c>
      <c r="I150" s="217">
        <f>IF(Diskontering!I16&lt;=Diskontering!$A$5,($B$101*'Kalkylvärden 1'!$D$162*Diskontering!I35),0)</f>
        <v>-3.1900567317924696E-3</v>
      </c>
      <c r="J150" s="217">
        <f>IF(Diskontering!J16&lt;=Diskontering!$A$5,($B$101*'Kalkylvärden 1'!$D$162*Diskontering!J35),0)</f>
        <v>-3.1592349276205614E-3</v>
      </c>
      <c r="K150" s="217">
        <f>IF(Diskontering!K16&lt;=Diskontering!$A$5,($B$101*'Kalkylvärden 1'!$D$162*Diskontering!K35),0)</f>
        <v>-3.128710918658044E-3</v>
      </c>
      <c r="L150" s="217">
        <f>IF(Diskontering!L16&lt;=Diskontering!$A$5,($B$101*'Kalkylvärden 1'!$D$162*Diskontering!L35),0)</f>
        <v>-3.0984818276565168E-3</v>
      </c>
      <c r="M150" s="217">
        <f>IF(Diskontering!M16&lt;=Diskontering!$A$5,($B$101*'Kalkylvärden 1'!$D$162*Diskontering!M35),0)</f>
        <v>-3.0685448051670822E-3</v>
      </c>
      <c r="N150" s="217">
        <f>IF(Diskontering!N16&lt;=Diskontering!$A$5,($B$101*'Kalkylvärden 1'!$D$162*Diskontering!N35),0)</f>
        <v>-3.0388970292717478E-3</v>
      </c>
      <c r="O150" s="217">
        <f>IF(Diskontering!O16&lt;=Diskontering!$A$5,($B$101*'Kalkylvärden 1'!$D$162*Diskontering!O35),0)</f>
        <v>-3.0095357053174319E-3</v>
      </c>
      <c r="P150" s="217">
        <f>IF(Diskontering!P16&lt;=Diskontering!$A$5,($B$101*'Kalkylvärden 1'!$D$162*Diskontering!P35),0)</f>
        <v>-2.9804580656525291E-3</v>
      </c>
      <c r="Q150" s="217">
        <f>IF(Diskontering!Q16&lt;=Diskontering!$A$5,($B$101*'Kalkylvärden 1'!$D$162*Diskontering!Q35),0)</f>
        <v>-2.9516613693660308E-3</v>
      </c>
      <c r="R150" s="217">
        <f>IF(Diskontering!R16&lt;=Diskontering!$A$5,($B$101*'Kalkylvärden 1'!$D$162*Diskontering!R35),0)</f>
        <v>-2.9231429020291611E-3</v>
      </c>
      <c r="S150" s="217">
        <f>IF(Diskontering!S16&lt;=Diskontering!$A$5,($B$101*'Kalkylvärden 1'!$D$162*Diskontering!S35),0)</f>
        <v>-2.8948999754395068E-3</v>
      </c>
      <c r="T150" s="217">
        <f>IF(Diskontering!T16&lt;=Diskontering!$A$5,($B$101*'Kalkylvärden 1'!$D$162*Diskontering!T35),0)</f>
        <v>-2.8669299273676283E-3</v>
      </c>
      <c r="U150" s="217">
        <f>IF(Diskontering!U16&lt;=Diskontering!$A$5,($B$101*'Kalkylvärden 1'!$D$162*Diskontering!U35),0)</f>
        <v>-2.8392301213061048E-3</v>
      </c>
      <c r="V150" s="217">
        <f>IF(Diskontering!V16&lt;=Diskontering!$A$5,($B$101*'Kalkylvärden 1'!$D$162*Diskontering!V35),0)</f>
        <v>-2.8117979462210221E-3</v>
      </c>
      <c r="W150" s="217">
        <f>IF(Diskontering!W16&lt;=Diskontering!$A$5,($B$101*'Kalkylvärden 1'!$D$162*Diskontering!W35),0)</f>
        <v>-2.7846308163058425E-3</v>
      </c>
      <c r="X150" s="217">
        <f>IF(Diskontering!X16&lt;=Diskontering!$A$5,($B$101*'Kalkylvärden 1'!$D$162*Diskontering!X35),0)</f>
        <v>-2.7577261707376704E-3</v>
      </c>
      <c r="Y150" s="217">
        <f>IF(Diskontering!Y16&lt;=Diskontering!$A$5,($B$101*'Kalkylvärden 1'!$D$162*Diskontering!Y35),0)</f>
        <v>-2.7310814734358571E-3</v>
      </c>
      <c r="Z150" s="217">
        <f>IF(Diskontering!Z16&lt;=Diskontering!$A$5,($B$101*'Kalkylvärden 1'!$D$162*Diskontering!Z35),0)</f>
        <v>-2.7046942128229503E-3</v>
      </c>
      <c r="AA150" s="217">
        <f>IF(Diskontering!AA16&lt;=Diskontering!$A$5,($B$101*'Kalkylvärden 1'!$D$162*Diskontering!AA35),0)</f>
        <v>-2.6785619015879457E-3</v>
      </c>
      <c r="AB150" s="217">
        <f>IF(Diskontering!AB16&lt;=Diskontering!$A$5,($B$101*'Kalkylvärden 1'!$D$162*Diskontering!AB35),0)</f>
        <v>-2.6526820764518301E-3</v>
      </c>
      <c r="AC150" s="217">
        <f>IF(Diskontering!AC16&lt;=Diskontering!$A$5,($B$101*'Kalkylvärden 1'!$D$162*Diskontering!AC35),0)</f>
        <v>-2.6270522979353872E-3</v>
      </c>
      <c r="AD150" s="217">
        <f>IF(Diskontering!AD16&lt;=Diskontering!$A$5,($B$101*'Kalkylvärden 1'!$D$162*Diskontering!AD35),0)</f>
        <v>-2.6016701501292484E-3</v>
      </c>
      <c r="AE150" s="217">
        <f>IF(Diskontering!AE16&lt;=Diskontering!$A$5,($B$101*'Kalkylvärden 1'!$D$162*Diskontering!AE35),0)</f>
        <v>-2.5765332404661637E-3</v>
      </c>
      <c r="AF150" s="217">
        <f>IF(Diskontering!AF16&lt;=Diskontering!$A$5,($B$101*'Kalkylvärden 1'!$D$162*Diskontering!AF35),0)</f>
        <v>-2.5516391994954762E-3</v>
      </c>
      <c r="AG150" s="217">
        <f>IF(Diskontering!AG16&lt;=Diskontering!$A$5,($B$101*'Kalkylvärden 1'!$D$162*Diskontering!AG35),0)</f>
        <v>-2.526985680659771E-3</v>
      </c>
      <c r="AH150" s="217">
        <f>IF(Diskontering!AH16&lt;=Diskontering!$A$5,($B$101*'Kalkylvärden 1'!$D$162*Diskontering!AH35),0)</f>
        <v>-2.5025703600736861E-3</v>
      </c>
      <c r="AI150" s="217">
        <f>IF(Diskontering!AI16&lt;=Diskontering!$A$5,($B$101*'Kalkylvärden 1'!$D$162*Diskontering!AI35),0)</f>
        <v>-2.4783909363048583E-3</v>
      </c>
      <c r="AJ150" s="217">
        <f>IF(Diskontering!AJ16&lt;=Diskontering!$A$5,($B$101*'Kalkylvärden 1'!$D$162*Diskontering!AJ35),0)</f>
        <v>-2.454445130156985E-3</v>
      </c>
      <c r="AK150" s="217">
        <f>IF(Diskontering!AK16&lt;=Diskontering!$A$5,($B$101*'Kalkylvärden 1'!$D$162*Diskontering!AK35),0)</f>
        <v>-2.4307306844549852E-3</v>
      </c>
      <c r="AL150" s="217">
        <f>IF(Diskontering!AL16&lt;=Diskontering!$A$5,($B$101*'Kalkylvärden 1'!$D$162*Diskontering!AL35),0)</f>
        <v>-2.4072453638322318E-3</v>
      </c>
      <c r="AM150" s="217">
        <f>IF(Diskontering!AM16&lt;=Diskontering!$A$5,($B$101*'Kalkylvärden 1'!$D$162*Diskontering!AM35),0)</f>
        <v>-2.3839869545198428E-3</v>
      </c>
      <c r="AN150" s="217">
        <f>IF(Diskontering!AN16&lt;=Diskontering!$A$5,($B$101*'Kalkylvärden 1'!$D$162*Diskontering!AN35),0)</f>
        <v>-2.360953264138009E-3</v>
      </c>
      <c r="AO150" s="217">
        <f>IF(Diskontering!AO16&lt;=Diskontering!$A$5,($B$101*'Kalkylvärden 1'!$D$162*Diskontering!AO35),0)</f>
        <v>-2.3381421214893326E-3</v>
      </c>
      <c r="AP150" s="217">
        <f>IF(Diskontering!AP16&lt;=Diskontering!$A$5,($B$101*'Kalkylvärden 1'!$D$162*Diskontering!AP35),0)</f>
        <v>-2.3155513763541699E-3</v>
      </c>
    </row>
    <row r="151" spans="1:42" s="218" customFormat="1" ht="12.75" x14ac:dyDescent="0.2">
      <c r="A151" s="217" t="s">
        <v>522</v>
      </c>
      <c r="B151" s="217">
        <f>IF(Diskontering!B17&lt;=Diskontering!$A$5,($B$101*'Kalkylvärden 1'!$D$162*Diskontering!B26),0)</f>
        <v>0</v>
      </c>
      <c r="C151" s="217">
        <f>IF(Diskontering!C17&lt;=Diskontering!$A$5,($B$101*'Kalkylvärden 1'!$D$162*Diskontering!C26),0)</f>
        <v>0</v>
      </c>
      <c r="D151" s="217">
        <f>IF(Diskontering!D17&lt;=Diskontering!$A$5,($B$101*'Kalkylvärden 1'!$D$162*Diskontering!D26),0)</f>
        <v>0</v>
      </c>
      <c r="E151" s="217">
        <f>IF(Diskontering!E17&lt;=Diskontering!$A$5,($B$101*'Kalkylvärden 1'!$D$162*Diskontering!E26),0)</f>
        <v>0</v>
      </c>
      <c r="F151" s="217">
        <f>IF(Diskontering!F17&lt;=Diskontering!$A$5,($B$101*'Kalkylvärden 1'!$D$162*Diskontering!F26),0)</f>
        <v>0</v>
      </c>
      <c r="G151" s="217">
        <f>IF(Diskontering!G17&lt;=Diskontering!$A$5,($B$101*'Kalkylvärden 1'!$D$162*Diskontering!G26),0)</f>
        <v>0</v>
      </c>
      <c r="H151" s="217">
        <f>IF(Diskontering!H17&lt;=Diskontering!$A$5,($B$101*'Kalkylvärden 1'!$D$162*Diskontering!H26),0)</f>
        <v>0</v>
      </c>
      <c r="I151" s="217">
        <f>IF(Diskontering!I17&lt;=Diskontering!$A$5,($B$101*'Kalkylvärden 1'!$D$162*Diskontering!I26),0)</f>
        <v>0</v>
      </c>
      <c r="J151" s="217">
        <f>IF(Diskontering!J17&lt;=Diskontering!$A$5,($B$101*'Kalkylvärden 1'!$D$162*Diskontering!J26),0)</f>
        <v>0</v>
      </c>
      <c r="K151" s="217">
        <f>IF(Diskontering!K17&lt;=Diskontering!$A$5,($B$101*'Kalkylvärden 1'!$D$162*Diskontering!K26),0)</f>
        <v>0</v>
      </c>
      <c r="L151" s="217">
        <f>IF(Diskontering!L17&lt;=Diskontering!$A$5,($B$101*'Kalkylvärden 1'!$D$162*Diskontering!L26),0)</f>
        <v>0</v>
      </c>
      <c r="M151" s="217">
        <f>IF(Diskontering!M17&lt;=Diskontering!$A$5,($B$101*'Kalkylvärden 1'!$D$162*Diskontering!M26),0)</f>
        <v>0</v>
      </c>
      <c r="N151" s="217">
        <f>IF(Diskontering!N17&lt;=Diskontering!$A$5,($B$101*'Kalkylvärden 1'!$D$162*Diskontering!N26),0)</f>
        <v>0</v>
      </c>
      <c r="O151" s="217">
        <f>IF(Diskontering!O17&lt;=Diskontering!$A$5,($B$101*'Kalkylvärden 1'!$D$162*Diskontering!O26),0)</f>
        <v>0</v>
      </c>
      <c r="P151" s="217">
        <f>IF(Diskontering!P17&lt;=Diskontering!$A$5,($B$101*'Kalkylvärden 1'!$D$162*Diskontering!P26),0)</f>
        <v>0</v>
      </c>
      <c r="Q151" s="217">
        <f>IF(Diskontering!Q17&lt;=Diskontering!$A$5,($B$101*'Kalkylvärden 1'!$D$162*Diskontering!Q26),0)</f>
        <v>0</v>
      </c>
      <c r="R151" s="217">
        <f>IF(Diskontering!R17&lt;=Diskontering!$A$5,($B$101*'Kalkylvärden 1'!$D$162*Diskontering!R26),0)</f>
        <v>0</v>
      </c>
      <c r="S151" s="217">
        <f>IF(Diskontering!S17&lt;=Diskontering!$A$5,($B$101*'Kalkylvärden 1'!$D$162*Diskontering!S26),0)</f>
        <v>0</v>
      </c>
      <c r="T151" s="217">
        <f>IF(Diskontering!T17&lt;=Diskontering!$A$5,($B$101*'Kalkylvärden 1'!$D$162*Diskontering!T26),0)</f>
        <v>0</v>
      </c>
      <c r="U151" s="217">
        <f>IF(Diskontering!U17&lt;=Diskontering!$A$5,($B$101*'Kalkylvärden 1'!$D$162*Diskontering!U26),0)</f>
        <v>0</v>
      </c>
      <c r="V151" s="217">
        <f>IF(Diskontering!V17&lt;=Diskontering!$A$5,($B$101*'Kalkylvärden 1'!$D$162*Diskontering!V26),0)</f>
        <v>0</v>
      </c>
      <c r="W151" s="217">
        <f>IF(Diskontering!W17&lt;=Diskontering!$A$5,($B$101*'Kalkylvärden 1'!$D$162*Diskontering!W26),0)</f>
        <v>0</v>
      </c>
      <c r="X151" s="217">
        <f>IF(Diskontering!X17&lt;=Diskontering!$A$5,($B$101*'Kalkylvärden 1'!$D$162*Diskontering!X26),0)</f>
        <v>0</v>
      </c>
      <c r="Y151" s="217">
        <f>IF(Diskontering!Y17&lt;=Diskontering!$A$5,($B$101*'Kalkylvärden 1'!$D$162*Diskontering!Y26),0)</f>
        <v>0</v>
      </c>
      <c r="Z151" s="217">
        <f>IF(Diskontering!Z17&lt;=Diskontering!$A$5,($B$101*'Kalkylvärden 1'!$D$162*Diskontering!Z26),0)</f>
        <v>0</v>
      </c>
      <c r="AA151" s="217">
        <f>IF(Diskontering!AA17&lt;=Diskontering!$A$5,($B$101*'Kalkylvärden 1'!$D$162*Diskontering!AA26),0)</f>
        <v>0</v>
      </c>
      <c r="AB151" s="217">
        <f>IF(Diskontering!AB17&lt;=Diskontering!$A$5,($B$101*'Kalkylvärden 1'!$D$162*Diskontering!AB26),0)</f>
        <v>0</v>
      </c>
      <c r="AC151" s="217">
        <f>IF(Diskontering!AC17&lt;=Diskontering!$A$5,($B$101*'Kalkylvärden 1'!$D$162*Diskontering!AC26),0)</f>
        <v>0</v>
      </c>
      <c r="AD151" s="217">
        <f>IF(Diskontering!AD17&lt;=Diskontering!$A$5,($B$101*'Kalkylvärden 1'!$D$162*Diskontering!AD26),0)</f>
        <v>0</v>
      </c>
      <c r="AE151" s="217">
        <f>IF(Diskontering!AE17&lt;=Diskontering!$A$5,($B$101*'Kalkylvärden 1'!$D$162*Diskontering!AE26),0)</f>
        <v>0</v>
      </c>
      <c r="AF151" s="217">
        <f>IF(Diskontering!AF17&lt;=Diskontering!$A$5,($B$101*'Kalkylvärden 1'!$D$162*Diskontering!AF26),0)</f>
        <v>0</v>
      </c>
      <c r="AG151" s="217">
        <f>IF(Diskontering!AG17&lt;=Diskontering!$A$5,($B$101*'Kalkylvärden 1'!$D$162*Diskontering!AG26),0)</f>
        <v>0</v>
      </c>
      <c r="AH151" s="217">
        <f>IF(Diskontering!AH17&lt;=Diskontering!$A$5,($B$101*'Kalkylvärden 1'!$D$162*Diskontering!AH26),0)</f>
        <v>0</v>
      </c>
      <c r="AI151" s="217">
        <f>IF(Diskontering!AI17&lt;=Diskontering!$A$5,($B$101*'Kalkylvärden 1'!$D$162*Diskontering!AI26),0)</f>
        <v>0</v>
      </c>
      <c r="AJ151" s="217">
        <f>IF(Diskontering!AJ17&lt;=Diskontering!$A$5,($B$101*'Kalkylvärden 1'!$D$162*Diskontering!AJ26),0)</f>
        <v>0</v>
      </c>
      <c r="AK151" s="217">
        <f>IF(Diskontering!AK17&lt;=Diskontering!$A$5,($B$101*'Kalkylvärden 1'!$D$162*Diskontering!AK26),0)</f>
        <v>0</v>
      </c>
      <c r="AL151" s="217">
        <f>IF(Diskontering!AL17&lt;=Diskontering!$A$5,($B$101*'Kalkylvärden 1'!$D$162*Diskontering!AL26),0)</f>
        <v>0</v>
      </c>
      <c r="AM151" s="217">
        <f>IF(Diskontering!AM17&lt;=Diskontering!$A$5,($B$101*'Kalkylvärden 1'!$D$162*Diskontering!AM26),0)</f>
        <v>0</v>
      </c>
      <c r="AN151" s="217">
        <f>IF(Diskontering!AN17&lt;=Diskontering!$A$5,($B$101*'Kalkylvärden 1'!$D$162*Diskontering!AN26),0)</f>
        <v>0</v>
      </c>
      <c r="AO151" s="217">
        <f>IF(Diskontering!AO17&lt;=Diskontering!$A$5,($B$101*'Kalkylvärden 1'!$D$162*Diskontering!AO26),0)</f>
        <v>0</v>
      </c>
      <c r="AP151" s="217">
        <f>IF(Diskontering!AP17&lt;=Diskontering!$A$5,($B$101*'Kalkylvärden 1'!$D$162*Diskontering!AP26),0)</f>
        <v>0</v>
      </c>
    </row>
    <row r="152" spans="1:42" x14ac:dyDescent="0.25">
      <c r="A152" s="36" t="s">
        <v>523</v>
      </c>
      <c r="B152" s="40">
        <f>B150-B151</f>
        <v>-3.4143952801518312E-3</v>
      </c>
      <c r="C152" s="40">
        <f t="shared" ref="C152:AP152" si="20">C150-C151</f>
        <v>-3.3814059537735524E-3</v>
      </c>
      <c r="D152" s="40">
        <f t="shared" si="20"/>
        <v>-3.3487353648482044E-3</v>
      </c>
      <c r="E152" s="40">
        <f t="shared" si="20"/>
        <v>-3.3163804337868696E-3</v>
      </c>
      <c r="F152" s="40">
        <f t="shared" si="20"/>
        <v>-3.2843381107551116E-3</v>
      </c>
      <c r="G152" s="40">
        <f t="shared" si="20"/>
        <v>-3.2526053753854974E-3</v>
      </c>
      <c r="H152" s="40">
        <f t="shared" si="20"/>
        <v>-3.2211792364928841E-3</v>
      </c>
      <c r="I152" s="40">
        <f t="shared" si="20"/>
        <v>-3.1900567317924696E-3</v>
      </c>
      <c r="J152" s="40">
        <f t="shared" si="20"/>
        <v>-3.1592349276205614E-3</v>
      </c>
      <c r="K152" s="40">
        <f t="shared" si="20"/>
        <v>-3.128710918658044E-3</v>
      </c>
      <c r="L152" s="40">
        <f t="shared" si="20"/>
        <v>-3.0984818276565168E-3</v>
      </c>
      <c r="M152" s="40">
        <f t="shared" si="20"/>
        <v>-3.0685448051670822E-3</v>
      </c>
      <c r="N152" s="40">
        <f t="shared" si="20"/>
        <v>-3.0388970292717478E-3</v>
      </c>
      <c r="O152" s="40">
        <f t="shared" si="20"/>
        <v>-3.0095357053174319E-3</v>
      </c>
      <c r="P152" s="40">
        <f t="shared" si="20"/>
        <v>-2.9804580656525291E-3</v>
      </c>
      <c r="Q152" s="40">
        <f t="shared" si="20"/>
        <v>-2.9516613693660308E-3</v>
      </c>
      <c r="R152" s="40">
        <f t="shared" si="20"/>
        <v>-2.9231429020291611E-3</v>
      </c>
      <c r="S152" s="40">
        <f t="shared" si="20"/>
        <v>-2.8948999754395068E-3</v>
      </c>
      <c r="T152" s="40">
        <f t="shared" si="20"/>
        <v>-2.8669299273676283E-3</v>
      </c>
      <c r="U152" s="40">
        <f t="shared" si="20"/>
        <v>-2.8392301213061048E-3</v>
      </c>
      <c r="V152" s="40">
        <f t="shared" si="20"/>
        <v>-2.8117979462210221E-3</v>
      </c>
      <c r="W152" s="40">
        <f t="shared" si="20"/>
        <v>-2.7846308163058425E-3</v>
      </c>
      <c r="X152" s="40">
        <f t="shared" si="20"/>
        <v>-2.7577261707376704E-3</v>
      </c>
      <c r="Y152" s="40">
        <f t="shared" si="20"/>
        <v>-2.7310814734358571E-3</v>
      </c>
      <c r="Z152" s="40">
        <f t="shared" si="20"/>
        <v>-2.7046942128229503E-3</v>
      </c>
      <c r="AA152" s="40">
        <f t="shared" si="20"/>
        <v>-2.6785619015879457E-3</v>
      </c>
      <c r="AB152" s="40">
        <f t="shared" si="20"/>
        <v>-2.6526820764518301E-3</v>
      </c>
      <c r="AC152" s="40">
        <f t="shared" si="20"/>
        <v>-2.6270522979353872E-3</v>
      </c>
      <c r="AD152" s="40">
        <f t="shared" si="20"/>
        <v>-2.6016701501292484E-3</v>
      </c>
      <c r="AE152" s="40">
        <f t="shared" si="20"/>
        <v>-2.5765332404661637E-3</v>
      </c>
      <c r="AF152" s="40">
        <f t="shared" si="20"/>
        <v>-2.5516391994954762E-3</v>
      </c>
      <c r="AG152" s="40">
        <f t="shared" si="20"/>
        <v>-2.526985680659771E-3</v>
      </c>
      <c r="AH152" s="40">
        <f t="shared" si="20"/>
        <v>-2.5025703600736861E-3</v>
      </c>
      <c r="AI152" s="40">
        <f t="shared" si="20"/>
        <v>-2.4783909363048583E-3</v>
      </c>
      <c r="AJ152" s="40">
        <f t="shared" si="20"/>
        <v>-2.454445130156985E-3</v>
      </c>
      <c r="AK152" s="40">
        <f t="shared" si="20"/>
        <v>-2.4307306844549852E-3</v>
      </c>
      <c r="AL152" s="40">
        <f t="shared" si="20"/>
        <v>-2.4072453638322318E-3</v>
      </c>
      <c r="AM152" s="40">
        <f t="shared" si="20"/>
        <v>-2.3839869545198428E-3</v>
      </c>
      <c r="AN152" s="40">
        <f t="shared" si="20"/>
        <v>-2.360953264138009E-3</v>
      </c>
      <c r="AO152" s="40">
        <f t="shared" si="20"/>
        <v>-2.3381421214893326E-3</v>
      </c>
      <c r="AP152" s="40">
        <f t="shared" si="20"/>
        <v>-2.3155513763541699E-3</v>
      </c>
    </row>
    <row r="153" spans="1:42" ht="30" x14ac:dyDescent="0.25">
      <c r="A153" s="258" t="s">
        <v>558</v>
      </c>
      <c r="B153" s="40">
        <f>IF(Diskontering!B16&lt;=Diskontering!A5,($B$103*Diskontering!B26),0)</f>
        <v>7.7100000000000002E-2</v>
      </c>
      <c r="C153" s="40">
        <f>IF([1]Diskontering!C16&lt;=[1]Diskontering!$A$5,($B$103*[1]Diskontering!C22),0)</f>
        <v>7.5386666666666671E-2</v>
      </c>
      <c r="D153" s="40">
        <f>IF([1]Diskontering!D16&lt;=[1]Diskontering!$A$5,($B$103*[1]Diskontering!D22),0)</f>
        <v>7.371140740740742E-2</v>
      </c>
      <c r="E153" s="40">
        <f>IF([1]Diskontering!E16&lt;=[1]Diskontering!$A$5,($B$103*[1]Diskontering!E22),0)</f>
        <v>7.2073376131687253E-2</v>
      </c>
      <c r="F153" s="40">
        <f>IF([1]Diskontering!F16&lt;=[1]Diskontering!$A$5,($B$103*[1]Diskontering!F22),0)</f>
        <v>7.0471745550983095E-2</v>
      </c>
      <c r="G153" s="40">
        <f>IF([1]Diskontering!G16&lt;=[1]Diskontering!$A$5,($B$103*[1]Diskontering!G22),0)</f>
        <v>6.8905706760961263E-2</v>
      </c>
      <c r="H153" s="40">
        <f>IF([1]Diskontering!H16&lt;=[1]Diskontering!$A$5,($B$103*[1]Diskontering!H22),0)</f>
        <v>6.7374468832939918E-2</v>
      </c>
      <c r="I153" s="40">
        <f>IF([1]Diskontering!I16&lt;=[1]Diskontering!$A$5,($B$103*[1]Diskontering!I22),0)</f>
        <v>6.5877258414430151E-2</v>
      </c>
      <c r="J153" s="40">
        <f>IF([1]Diskontering!J16&lt;=[1]Diskontering!$A$5,($B$103*[1]Diskontering!J22),0)</f>
        <v>6.4413319338553918E-2</v>
      </c>
      <c r="K153" s="40">
        <f>IF([1]Diskontering!K16&lt;=[1]Diskontering!$A$5,($B$103*[1]Diskontering!K22),0)</f>
        <v>6.2235091148361274E-2</v>
      </c>
      <c r="L153" s="40">
        <f>IF([1]Diskontering!L16&lt;=[1]Diskontering!$A$5,($B$103*[1]Diskontering!L22),0)</f>
        <v>6.013052284865824E-2</v>
      </c>
      <c r="M153" s="40">
        <f>IF([1]Diskontering!M16&lt;=[1]Diskontering!$A$5,($B$103*[1]Diskontering!M22),0)</f>
        <v>5.8097123525273679E-2</v>
      </c>
      <c r="N153" s="40">
        <f>IF([1]Diskontering!N16&lt;=[1]Diskontering!$A$5,($B$103*[1]Diskontering!N22),0)</f>
        <v>5.6132486497848959E-2</v>
      </c>
      <c r="O153" s="40">
        <f>IF([1]Diskontering!O16&lt;=[1]Diskontering!$A$5,($B$103*[1]Diskontering!O22),0)</f>
        <v>5.4234286471351666E-2</v>
      </c>
      <c r="P153" s="40">
        <f>IF([1]Diskontering!P16&lt;=[1]Diskontering!$A$5,($B$103*[1]Diskontering!P22),0)</f>
        <v>5.2400276783914665E-2</v>
      </c>
      <c r="Q153" s="40">
        <f>IF([1]Diskontering!Q16&lt;=[1]Diskontering!$A$5,($B$103*[1]Diskontering!Q22),0)</f>
        <v>5.0628286747743632E-2</v>
      </c>
      <c r="R153" s="40">
        <f>IF([1]Diskontering!R16&lt;=[1]Diskontering!$A$5,($B$103*[1]Diskontering!R22),0)</f>
        <v>4.8916219079945547E-2</v>
      </c>
      <c r="S153" s="40">
        <f>IF([1]Diskontering!S16&lt;=[1]Diskontering!$A$5,($B$103*[1]Diskontering!S22),0)</f>
        <v>4.7262047420237242E-2</v>
      </c>
      <c r="T153" s="40">
        <f>IF([1]Diskontering!T16&lt;=[1]Diskontering!$A$5,($B$103*[1]Diskontering!T22),0)</f>
        <v>4.5663813932596373E-2</v>
      </c>
      <c r="U153" s="40">
        <f>IF([1]Diskontering!U16&lt;=[1]Diskontering!$A$5,($B$103*[1]Diskontering!U22),0)</f>
        <v>4.4119626988015817E-2</v>
      </c>
      <c r="V153" s="40">
        <f>IF([1]Diskontering!V16&lt;=[1]Diskontering!$A$5,($B$103*[1]Diskontering!V22),0)</f>
        <v>4.2627658925619157E-2</v>
      </c>
      <c r="W153" s="40">
        <f>IF([1]Diskontering!W16&lt;=[1]Diskontering!$A$5,($B$103*[1]Diskontering!W22),0)</f>
        <v>4.1186143889487117E-2</v>
      </c>
      <c r="X153" s="40">
        <f>IF([1]Diskontering!X16&lt;=[1]Diskontering!$A$5,($B$103*[1]Diskontering!X22),0)</f>
        <v>3.9793375738634902E-2</v>
      </c>
      <c r="Y153" s="40">
        <f>IF([1]Diskontering!Y16&lt;=[1]Diskontering!$A$5,($B$103*[1]Diskontering!Y22),0)</f>
        <v>3.8447706027666569E-2</v>
      </c>
      <c r="Z153" s="40">
        <f>IF([1]Diskontering!Z16&lt;=[1]Diskontering!$A$5,($B$103*[1]Diskontering!Z22),0)</f>
        <v>3.7147542055716493E-2</v>
      </c>
      <c r="AA153" s="40">
        <f>IF([1]Diskontering!AA16&lt;=[1]Diskontering!$A$5,($B$103*[1]Diskontering!AA22),0)</f>
        <v>3.5891344981368596E-2</v>
      </c>
      <c r="AB153" s="40">
        <f>IF([1]Diskontering!AB16&lt;=[1]Diskontering!$A$5,($B$103*[1]Diskontering!AB22),0)</f>
        <v>3.4677628001322312E-2</v>
      </c>
      <c r="AC153" s="40">
        <f>IF([1]Diskontering!AC16&lt;=[1]Diskontering!$A$5,($B$103*[1]Diskontering!AC22),0)</f>
        <v>3.3504954590649581E-2</v>
      </c>
      <c r="AD153" s="40">
        <f>IF([1]Diskontering!AD16&lt;=[1]Diskontering!$A$5,($B$103*[1]Diskontering!AD22),0)</f>
        <v>3.2371936802559981E-2</v>
      </c>
      <c r="AE153" s="40">
        <f>IF([1]Diskontering!AE16&lt;=[1]Diskontering!$A$5,($B$103*[1]Diskontering!AE22),0)</f>
        <v>3.1277233625661822E-2</v>
      </c>
      <c r="AF153" s="40">
        <f>IF([1]Diskontering!AF16&lt;=[1]Diskontering!$A$5,($B$103*[1]Diskontering!AF22),0)</f>
        <v>3.0219549396774709E-2</v>
      </c>
      <c r="AG153" s="40">
        <f>IF([1]Diskontering!AG16&lt;=[1]Diskontering!$A$5,($B$103*[1]Diskontering!AG22),0)</f>
        <v>2.9197632267415181E-2</v>
      </c>
      <c r="AH153" s="40">
        <f>IF([1]Diskontering!AH16&lt;=[1]Diskontering!$A$5,($B$103*[1]Diskontering!AH22),0)</f>
        <v>2.8210272722140273E-2</v>
      </c>
      <c r="AI153" s="40">
        <f>IF([1]Diskontering!AI16&lt;=[1]Diskontering!$A$5,($B$103*[1]Diskontering!AI22),0)</f>
        <v>2.7256302146995433E-2</v>
      </c>
      <c r="AJ153" s="40">
        <f>IF([1]Diskontering!AJ16&lt;=[1]Diskontering!$A$5,($B$103*[1]Diskontering!AJ22),0)</f>
        <v>2.6334591446372402E-2</v>
      </c>
      <c r="AK153" s="40">
        <f>IF([1]Diskontering!AK16&lt;=[1]Diskontering!$A$5,($B$103*[1]Diskontering!AK22),0)</f>
        <v>2.5444049706640003E-2</v>
      </c>
      <c r="AL153" s="40">
        <f>IF([1]Diskontering!AL16&lt;=[1]Diskontering!$A$5,($B$103*[1]Diskontering!AL22),0)</f>
        <v>2.4583622904966192E-2</v>
      </c>
      <c r="AM153" s="40">
        <f>IF([1]Diskontering!AM16&lt;=[1]Diskontering!$A$5,($B$103*[1]Diskontering!AM22),0)</f>
        <v>2.3752292661803086E-2</v>
      </c>
      <c r="AN153" s="40">
        <f>IF([1]Diskontering!AN16&lt;=[1]Diskontering!$A$5,($B$103*[1]Diskontering!AN22),0)</f>
        <v>2.2949075035558542E-2</v>
      </c>
      <c r="AO153" s="40">
        <f>IF([1]Diskontering!AO16&lt;=[1]Diskontering!$A$5,($B$103*[1]Diskontering!AO22),0)</f>
        <v>2.2173019358027575E-2</v>
      </c>
      <c r="AP153" s="40">
        <f>IF([1]Diskontering!AP16&lt;=[1]Diskontering!$A$5,($B$103*[1]Diskontering!AP22),0)</f>
        <v>0</v>
      </c>
    </row>
    <row r="154" spans="1:42" s="219" customFormat="1" ht="12.75" x14ac:dyDescent="0.2">
      <c r="A154" s="217" t="s">
        <v>524</v>
      </c>
      <c r="B154" s="217">
        <f>IF(Diskontering!B16&lt;=Diskontering!$A$5,(IF($B$63=0,($B$103*'Kalkylvärden 1'!$D$170*Diskontering!B35),($B$103*'Kalkylvärden 1'!$D$169*Diskontering!B35))),0)</f>
        <v>2.3E-2</v>
      </c>
      <c r="C154" s="217">
        <f>IF(Diskontering!C16&lt;=Diskontering!$A$5,(IF($B$63=0,($B$103*'Kalkylvärden 1'!$D$170*Diskontering!C35),($B$103*'Kalkylvärden 1'!$D$169*Diskontering!C35))),0)</f>
        <v>2.2777777777777775E-2</v>
      </c>
      <c r="D154" s="217">
        <f>IF(Diskontering!D16&lt;=Diskontering!$A$5,(IF($B$63=0,($B$103*'Kalkylvärden 1'!$D$170*Diskontering!D35),($B$103*'Kalkylvärden 1'!$D$169*Diskontering!D35))),0)</f>
        <v>2.2557702630166397E-2</v>
      </c>
      <c r="E154" s="217">
        <f>IF(Diskontering!E16&lt;=Diskontering!$A$5,(IF($B$63=0,($B$103*'Kalkylvärden 1'!$D$170*Diskontering!E35),($B$103*'Kalkylvärden 1'!$D$169*Diskontering!E35))),0)</f>
        <v>2.2339753812483633E-2</v>
      </c>
      <c r="F154" s="217">
        <f>IF(Diskontering!F16&lt;=Diskontering!$A$5,(IF($B$63=0,($B$103*'Kalkylvärden 1'!$D$170*Diskontering!F35),($B$103*'Kalkylvärden 1'!$D$169*Diskontering!F35))),0)</f>
        <v>2.2123910780478959E-2</v>
      </c>
      <c r="G154" s="217">
        <f>IF(Diskontering!G16&lt;=Diskontering!$A$5,(IF($B$63=0,($B$103*'Kalkylvärden 1'!$D$170*Diskontering!G35),($B$103*'Kalkylvärden 1'!$D$169*Diskontering!G35))),0)</f>
        <v>2.1910153188397039E-2</v>
      </c>
      <c r="H154" s="217">
        <f>IF(Diskontering!H16&lt;=Diskontering!$A$5,(IF($B$63=0,($B$103*'Kalkylvärden 1'!$D$170*Diskontering!H35),($B$103*'Kalkylvärden 1'!$D$169*Diskontering!H35))),0)</f>
        <v>2.1698460887059869E-2</v>
      </c>
      <c r="I154" s="217">
        <f>IF(Diskontering!I16&lt;=Diskontering!$A$5,(IF($B$63=0,($B$103*'Kalkylvärden 1'!$D$170*Diskontering!I35),($B$103*'Kalkylvärden 1'!$D$169*Diskontering!I35))),0)</f>
        <v>2.1488813921967501E-2</v>
      </c>
      <c r="J154" s="217">
        <f>IF(Diskontering!J16&lt;=Diskontering!$A$5,(IF($B$63=0,($B$103*'Kalkylvärden 1'!$D$170*Diskontering!J35),($B$103*'Kalkylvärden 1'!$D$169*Diskontering!J35))),0)</f>
        <v>2.1281192531417092E-2</v>
      </c>
      <c r="K154" s="217">
        <f>IF(Diskontering!K16&lt;=Diskontering!$A$5,(IF($B$63=0,($B$103*'Kalkylvärden 1'!$D$170*Diskontering!K35),($B$103*'Kalkylvärden 1'!$D$169*Diskontering!K35))),0)</f>
        <v>2.1075577144640114E-2</v>
      </c>
      <c r="L154" s="217">
        <f>IF(Diskontering!L16&lt;=Diskontering!$A$5,(IF($B$63=0,($B$103*'Kalkylvärden 1'!$D$170*Diskontering!L35),($B$103*'Kalkylvärden 1'!$D$169*Diskontering!L35))),0)</f>
        <v>2.0871948379957598E-2</v>
      </c>
      <c r="M154" s="217">
        <f>IF(Diskontering!M16&lt;=Diskontering!$A$5,(IF($B$63=0,($B$103*'Kalkylvärden 1'!$D$170*Diskontering!M35),($B$103*'Kalkylvärden 1'!$D$169*Diskontering!M35))),0)</f>
        <v>2.0670287042953178E-2</v>
      </c>
      <c r="N154" s="217">
        <f>IF(Diskontering!N16&lt;=Diskontering!$A$5,(IF($B$63=0,($B$103*'Kalkylvärden 1'!$D$170*Diskontering!N35),($B$103*'Kalkylvärden 1'!$D$169*Diskontering!N35))),0)</f>
        <v>2.0470574124663774E-2</v>
      </c>
      <c r="O154" s="217">
        <f>IF(Diskontering!O16&lt;=Diskontering!$A$5,(IF($B$63=0,($B$103*'Kalkylvärden 1'!$D$170*Diskontering!O35),($B$103*'Kalkylvärden 1'!$D$169*Diskontering!O35))),0)</f>
        <v>2.0272790799787797E-2</v>
      </c>
      <c r="P154" s="217">
        <f>IF(Diskontering!P16&lt;=Diskontering!$A$5,(IF($B$63=0,($B$103*'Kalkylvärden 1'!$D$170*Diskontering!P35),($B$103*'Kalkylvärden 1'!$D$169*Diskontering!P35))),0)</f>
        <v>2.0076918424910623E-2</v>
      </c>
      <c r="Q154" s="217">
        <f>IF(Diskontering!Q16&lt;=Diskontering!$A$5,(IF($B$63=0,($B$103*'Kalkylvärden 1'!$D$170*Diskontering!Q35),($B$103*'Kalkylvärden 1'!$D$169*Diskontering!Q35))),0)</f>
        <v>1.9882938536747233E-2</v>
      </c>
      <c r="R154" s="217">
        <f>IF(Diskontering!R16&lt;=Diskontering!$A$5,(IF($B$63=0,($B$103*'Kalkylvärden 1'!$D$170*Diskontering!R35),($B$103*'Kalkylvärden 1'!$D$169*Diskontering!R35))),0)</f>
        <v>1.9690832850401851E-2</v>
      </c>
      <c r="S154" s="217">
        <f>IF(Diskontering!S16&lt;=Diskontering!$A$5,(IF($B$63=0,($B$103*'Kalkylvärden 1'!$D$170*Diskontering!S35),($B$103*'Kalkylvärden 1'!$D$169*Diskontering!S35))),0)</f>
        <v>1.9500583257644342E-2</v>
      </c>
      <c r="T154" s="217">
        <f>IF(Diskontering!T16&lt;=Diskontering!$A$5,(IF($B$63=0,($B$103*'Kalkylvärden 1'!$D$170*Diskontering!T35),($B$103*'Kalkylvärden 1'!$D$169*Diskontering!T35))),0)</f>
        <v>1.9312171825203339E-2</v>
      </c>
      <c r="U154" s="217">
        <f>IF(Diskontering!U16&lt;=Diskontering!$A$5,(IF($B$63=0,($B$103*'Kalkylvärden 1'!$D$170*Diskontering!U35),($B$103*'Kalkylvärden 1'!$D$169*Diskontering!U35))),0)</f>
        <v>1.9125580793075768E-2</v>
      </c>
      <c r="V154" s="217">
        <f>IF(Diskontering!V16&lt;=Diskontering!$A$5,(IF($B$63=0,($B$103*'Kalkylvärden 1'!$D$170*Diskontering!V35),($B$103*'Kalkylvärden 1'!$D$169*Diskontering!V35))),0)</f>
        <v>1.8940792572852812E-2</v>
      </c>
      <c r="W154" s="217">
        <f>IF(Diskontering!W16&lt;=Diskontering!$A$5,(IF($B$63=0,($B$103*'Kalkylvärden 1'!$D$170*Diskontering!W35),($B$103*'Kalkylvärden 1'!$D$169*Diskontering!W35))),0)</f>
        <v>1.8757789746061963E-2</v>
      </c>
      <c r="X154" s="217">
        <f>IF(Diskontering!X16&lt;=Diskontering!$A$5,(IF($B$63=0,($B$103*'Kalkylvärden 1'!$D$170*Diskontering!X35),($B$103*'Kalkylvärden 1'!$D$169*Diskontering!X35))),0)</f>
        <v>1.8576555062525132E-2</v>
      </c>
      <c r="Y154" s="217">
        <f>IF(Diskontering!Y16&lt;=Diskontering!$A$5,(IF($B$63=0,($B$103*'Kalkylvärden 1'!$D$170*Diskontering!Y35),($B$103*'Kalkylvärden 1'!$D$169*Diskontering!Y35))),0)</f>
        <v>1.8397071438732621E-2</v>
      </c>
      <c r="Z154" s="217">
        <f>IF(Diskontering!Z16&lt;=Diskontering!$A$5,(IF($B$63=0,($B$103*'Kalkylvärden 1'!$D$170*Diskontering!Z35),($B$103*'Kalkylvärden 1'!$D$169*Diskontering!Z35))),0)</f>
        <v>1.8219321956232788E-2</v>
      </c>
      <c r="AA154" s="217">
        <f>IF(Diskontering!AA16&lt;=Diskontering!$A$5,(IF($B$63=0,($B$103*'Kalkylvärden 1'!$D$170*Diskontering!AA35),($B$103*'Kalkylvärden 1'!$D$169*Diskontering!AA35))),0)</f>
        <v>1.8043289860037299E-2</v>
      </c>
      <c r="AB154" s="217">
        <f>IF(Diskontering!AB16&lt;=Diskontering!$A$5,(IF($B$63=0,($B$103*'Kalkylvärden 1'!$D$170*Diskontering!AB35),($B$103*'Kalkylvärden 1'!$D$169*Diskontering!AB35))),0)</f>
        <v>1.7868958557041771E-2</v>
      </c>
      <c r="AC154" s="217">
        <f>IF(Diskontering!AC16&lt;=Diskontering!$A$5,(IF($B$63=0,($B$103*'Kalkylvärden 1'!$D$170*Diskontering!AC35),($B$103*'Kalkylvärden 1'!$D$169*Diskontering!AC35))),0)</f>
        <v>1.7696311614461654E-2</v>
      </c>
      <c r="AD154" s="217">
        <f>IF(Diskontering!AD16&lt;=Diskontering!$A$5,(IF($B$63=0,($B$103*'Kalkylvärden 1'!$D$170*Diskontering!AD35),($B$103*'Kalkylvärden 1'!$D$169*Diskontering!AD35))),0)</f>
        <v>1.7525332758283281E-2</v>
      </c>
      <c r="AE154" s="217">
        <f>IF(Diskontering!AE16&lt;=Diskontering!$A$5,(IF($B$63=0,($B$103*'Kalkylvärden 1'!$D$170*Diskontering!AE35),($B$103*'Kalkylvärden 1'!$D$169*Diskontering!AE35))),0)</f>
        <v>1.7356005871729818E-2</v>
      </c>
      <c r="AF154" s="217">
        <f>IF(Diskontering!AF16&lt;=Diskontering!$A$5,(IF($B$63=0,($B$103*'Kalkylvärden 1'!$D$170*Diskontering!AF35),($B$103*'Kalkylvärden 1'!$D$169*Diskontering!AF35))),0)</f>
        <v>1.7188314993742092E-2</v>
      </c>
      <c r="AG154" s="217">
        <f>IF(Diskontering!AG16&lt;=Diskontering!$A$5,(IF($B$63=0,($B$103*'Kalkylvärden 1'!$D$170*Diskontering!AG35),($B$103*'Kalkylvärden 1'!$D$169*Diskontering!AG35))),0)</f>
        <v>1.7022244317474053E-2</v>
      </c>
      <c r="AH154" s="217">
        <f>IF(Diskontering!AH16&lt;=Diskontering!$A$5,(IF($B$63=0,($B$103*'Kalkylvärden 1'!$D$170*Diskontering!AH35),($B$103*'Kalkylvärden 1'!$D$169*Diskontering!AH35))),0)</f>
        <v>1.6857778188802804E-2</v>
      </c>
      <c r="AI154" s="217">
        <f>IF(Diskontering!AI16&lt;=Diskontering!$A$5,(IF($B$63=0,($B$103*'Kalkylvärden 1'!$D$170*Diskontering!AI35),($B$103*'Kalkylvärden 1'!$D$169*Diskontering!AI35))),0)</f>
        <v>1.669490110485302E-2</v>
      </c>
      <c r="AJ154" s="217">
        <f>IF(Diskontering!AJ16&lt;=Diskontering!$A$5,(IF($B$63=0,($B$103*'Kalkylvärden 1'!$D$170*Diskontering!AJ35),($B$103*'Kalkylvärden 1'!$D$169*Diskontering!AJ35))),0)</f>
        <v>1.6533597712535597E-2</v>
      </c>
      <c r="AK154" s="217">
        <f>IF(Diskontering!AK16&lt;=Diskontering!$A$5,(IF($B$63=0,($B$103*'Kalkylvärden 1'!$D$170*Diskontering!AK35),($B$103*'Kalkylvärden 1'!$D$169*Diskontering!AK35))),0)</f>
        <v>1.6373852807100471E-2</v>
      </c>
      <c r="AL154" s="217">
        <f>IF(Diskontering!AL16&lt;=Diskontering!$A$5,(IF($B$63=0,($B$103*'Kalkylvärden 1'!$D$170*Diskontering!AL35),($B$103*'Kalkylvärden 1'!$D$169*Diskontering!AL35))),0)</f>
        <v>1.6215651330703365E-2</v>
      </c>
      <c r="AM154" s="217">
        <f>IF(Diskontering!AM16&lt;=Diskontering!$A$5,(IF($B$63=0,($B$103*'Kalkylvärden 1'!$D$170*Diskontering!AM35),($B$103*'Kalkylvärden 1'!$D$169*Diskontering!AM35))),0)</f>
        <v>1.6058978370986424E-2</v>
      </c>
      <c r="AN154" s="217">
        <f>IF(Diskontering!AN16&lt;=Diskontering!$A$5,(IF($B$63=0,($B$103*'Kalkylvärden 1'!$D$170*Diskontering!AN35),($B$103*'Kalkylvärden 1'!$D$169*Diskontering!AN35))),0)</f>
        <v>1.5903819159672546E-2</v>
      </c>
      <c r="AO154" s="217">
        <f>IF(Diskontering!AO16&lt;=Diskontering!$A$5,(IF($B$63=0,($B$103*'Kalkylvärden 1'!$D$170*Diskontering!AO35),($B$103*'Kalkylvärden 1'!$D$169*Diskontering!AO35))),0)</f>
        <v>1.5750159071173296E-2</v>
      </c>
      <c r="AP154" s="217">
        <f>IF(Diskontering!AP16&lt;=Diskontering!$A$5,(IF($B$63=0,($B$103*'Kalkylvärden 1'!$D$170*Diskontering!AP35),($B$103*'Kalkylvärden 1'!$D$169*Diskontering!AP35))),0)</f>
        <v>1.5597983621210268E-2</v>
      </c>
    </row>
    <row r="155" spans="1:42" s="219" customFormat="1" ht="12.75" x14ac:dyDescent="0.2">
      <c r="A155" s="217" t="s">
        <v>525</v>
      </c>
      <c r="B155" s="217">
        <f>IF(Diskontering!B17&lt;=Diskontering!$A$5,(IF($B$63=0,($B$103*'Kalkylvärden 1'!$D$170*Diskontering!B26),($B$103*'Kalkylvärden 1'!$D$169*Diskontering!B26))),0)</f>
        <v>0</v>
      </c>
      <c r="C155" s="217">
        <f>IF(Diskontering!C17&lt;=Diskontering!$A$5,(IF($B$63=0,($B$103*'Kalkylvärden 1'!$D$170*Diskontering!C26),($B$103*'Kalkylvärden 1'!$D$169*Diskontering!C26))),0)</f>
        <v>0</v>
      </c>
      <c r="D155" s="217">
        <f>IF(Diskontering!D17&lt;=Diskontering!$A$5,(IF($B$63=0,($B$103*'Kalkylvärden 1'!$D$170*Diskontering!D26),($B$103*'Kalkylvärden 1'!$D$169*Diskontering!D26))),0)</f>
        <v>0</v>
      </c>
      <c r="E155" s="217">
        <f>IF(Diskontering!E17&lt;=Diskontering!$A$5,(IF($B$63=0,($B$103*'Kalkylvärden 1'!$D$170*Diskontering!E26),($B$103*'Kalkylvärden 1'!$D$169*Diskontering!E26))),0)</f>
        <v>0</v>
      </c>
      <c r="F155" s="217">
        <f>IF(Diskontering!F17&lt;=Diskontering!$A$5,(IF($B$63=0,($B$103*'Kalkylvärden 1'!$D$170*Diskontering!F26),($B$103*'Kalkylvärden 1'!$D$169*Diskontering!F26))),0)</f>
        <v>0</v>
      </c>
      <c r="G155" s="217">
        <f>IF(Diskontering!G17&lt;=Diskontering!$A$5,(IF($B$63=0,($B$103*'Kalkylvärden 1'!$D$170*Diskontering!G26),($B$103*'Kalkylvärden 1'!$D$169*Diskontering!G26))),0)</f>
        <v>0</v>
      </c>
      <c r="H155" s="217">
        <f>IF(Diskontering!H17&lt;=Diskontering!$A$5,(IF($B$63=0,($B$103*'Kalkylvärden 1'!$D$170*Diskontering!H26),($B$103*'Kalkylvärden 1'!$D$169*Diskontering!H26))),0)</f>
        <v>0</v>
      </c>
      <c r="I155" s="217">
        <f>IF(Diskontering!I17&lt;=Diskontering!$A$5,(IF($B$63=0,($B$103*'Kalkylvärden 1'!$D$170*Diskontering!I26),($B$103*'Kalkylvärden 1'!$D$169*Diskontering!I26))),0)</f>
        <v>0</v>
      </c>
      <c r="J155" s="217">
        <f>IF(Diskontering!J17&lt;=Diskontering!$A$5,(IF($B$63=0,($B$103*'Kalkylvärden 1'!$D$170*Diskontering!J26),($B$103*'Kalkylvärden 1'!$D$169*Diskontering!J26))),0)</f>
        <v>0</v>
      </c>
      <c r="K155" s="217">
        <f>IF(Diskontering!K17&lt;=Diskontering!$A$5,(IF($B$63=0,($B$103*'Kalkylvärden 1'!$D$170*Diskontering!K26),($B$103*'Kalkylvärden 1'!$D$169*Diskontering!K26))),0)</f>
        <v>0</v>
      </c>
      <c r="L155" s="217">
        <f>IF(Diskontering!L17&lt;=Diskontering!$A$5,(IF($B$63=0,($B$103*'Kalkylvärden 1'!$D$170*Diskontering!L26),($B$103*'Kalkylvärden 1'!$D$169*Diskontering!L26))),0)</f>
        <v>0</v>
      </c>
      <c r="M155" s="217">
        <f>IF(Diskontering!M17&lt;=Diskontering!$A$5,(IF($B$63=0,($B$103*'Kalkylvärden 1'!$D$170*Diskontering!M26),($B$103*'Kalkylvärden 1'!$D$169*Diskontering!M26))),0)</f>
        <v>0</v>
      </c>
      <c r="N155" s="217">
        <f>IF(Diskontering!N17&lt;=Diskontering!$A$5,(IF($B$63=0,($B$103*'Kalkylvärden 1'!$D$170*Diskontering!N26),($B$103*'Kalkylvärden 1'!$D$169*Diskontering!N26))),0)</f>
        <v>0</v>
      </c>
      <c r="O155" s="217">
        <f>IF(Diskontering!O17&lt;=Diskontering!$A$5,(IF($B$63=0,($B$103*'Kalkylvärden 1'!$D$170*Diskontering!O26),($B$103*'Kalkylvärden 1'!$D$169*Diskontering!O26))),0)</f>
        <v>0</v>
      </c>
      <c r="P155" s="217">
        <f>IF(Diskontering!P17&lt;=Diskontering!$A$5,(IF($B$63=0,($B$103*'Kalkylvärden 1'!$D$170*Diskontering!P26),($B$103*'Kalkylvärden 1'!$D$169*Diskontering!P26))),0)</f>
        <v>0</v>
      </c>
      <c r="Q155" s="217">
        <f>IF(Diskontering!Q17&lt;=Diskontering!$A$5,(IF($B$63=0,($B$103*'Kalkylvärden 1'!$D$170*Diskontering!Q26),($B$103*'Kalkylvärden 1'!$D$169*Diskontering!Q26))),0)</f>
        <v>0</v>
      </c>
      <c r="R155" s="217">
        <f>IF(Diskontering!R17&lt;=Diskontering!$A$5,(IF($B$63=0,($B$103*'Kalkylvärden 1'!$D$170*Diskontering!R26),($B$103*'Kalkylvärden 1'!$D$169*Diskontering!R26))),0)</f>
        <v>0</v>
      </c>
      <c r="S155" s="217">
        <f>IF(Diskontering!S17&lt;=Diskontering!$A$5,(IF($B$63=0,($B$103*'Kalkylvärden 1'!$D$170*Diskontering!S26),($B$103*'Kalkylvärden 1'!$D$169*Diskontering!S26))),0)</f>
        <v>0</v>
      </c>
      <c r="T155" s="217">
        <f>IF(Diskontering!T17&lt;=Diskontering!$A$5,(IF($B$63=0,($B$103*'Kalkylvärden 1'!$D$170*Diskontering!T26),($B$103*'Kalkylvärden 1'!$D$169*Diskontering!T26))),0)</f>
        <v>0</v>
      </c>
      <c r="U155" s="217">
        <f>IF(Diskontering!U17&lt;=Diskontering!$A$5,(IF($B$63=0,($B$103*'Kalkylvärden 1'!$D$170*Diskontering!U26),($B$103*'Kalkylvärden 1'!$D$169*Diskontering!U26))),0)</f>
        <v>0</v>
      </c>
      <c r="V155" s="217">
        <f>IF(Diskontering!V17&lt;=Diskontering!$A$5,(IF($B$63=0,($B$103*'Kalkylvärden 1'!$D$170*Diskontering!V26),($B$103*'Kalkylvärden 1'!$D$169*Diskontering!V26))),0)</f>
        <v>0</v>
      </c>
      <c r="W155" s="217">
        <f>IF(Diskontering!W17&lt;=Diskontering!$A$5,(IF($B$63=0,($B$103*'Kalkylvärden 1'!$D$170*Diskontering!W26),($B$103*'Kalkylvärden 1'!$D$169*Diskontering!W26))),0)</f>
        <v>0</v>
      </c>
      <c r="X155" s="217">
        <f>IF(Diskontering!X17&lt;=Diskontering!$A$5,(IF($B$63=0,($B$103*'Kalkylvärden 1'!$D$170*Diskontering!X26),($B$103*'Kalkylvärden 1'!$D$169*Diskontering!X26))),0)</f>
        <v>0</v>
      </c>
      <c r="Y155" s="217">
        <f>IF(Diskontering!Y17&lt;=Diskontering!$A$5,(IF($B$63=0,($B$103*'Kalkylvärden 1'!$D$170*Diskontering!Y26),($B$103*'Kalkylvärden 1'!$D$169*Diskontering!Y26))),0)</f>
        <v>0</v>
      </c>
      <c r="Z155" s="217">
        <f>IF(Diskontering!Z17&lt;=Diskontering!$A$5,(IF($B$63=0,($B$103*'Kalkylvärden 1'!$D$170*Diskontering!Z26),($B$103*'Kalkylvärden 1'!$D$169*Diskontering!Z26))),0)</f>
        <v>0</v>
      </c>
      <c r="AA155" s="217">
        <f>IF(Diskontering!AA17&lt;=Diskontering!$A$5,(IF($B$63=0,($B$103*'Kalkylvärden 1'!$D$170*Diskontering!AA26),($B$103*'Kalkylvärden 1'!$D$169*Diskontering!AA26))),0)</f>
        <v>0</v>
      </c>
      <c r="AB155" s="217">
        <f>IF(Diskontering!AB17&lt;=Diskontering!$A$5,(IF($B$63=0,($B$103*'Kalkylvärden 1'!$D$170*Diskontering!AB26),($B$103*'Kalkylvärden 1'!$D$169*Diskontering!AB26))),0)</f>
        <v>0</v>
      </c>
      <c r="AC155" s="217">
        <f>IF(Diskontering!AC17&lt;=Diskontering!$A$5,(IF($B$63=0,($B$103*'Kalkylvärden 1'!$D$170*Diskontering!AC26),($B$103*'Kalkylvärden 1'!$D$169*Diskontering!AC26))),0)</f>
        <v>0</v>
      </c>
      <c r="AD155" s="217">
        <f>IF(Diskontering!AD17&lt;=Diskontering!$A$5,(IF($B$63=0,($B$103*'Kalkylvärden 1'!$D$170*Diskontering!AD26),($B$103*'Kalkylvärden 1'!$D$169*Diskontering!AD26))),0)</f>
        <v>0</v>
      </c>
      <c r="AE155" s="217">
        <f>IF(Diskontering!AE17&lt;=Diskontering!$A$5,(IF($B$63=0,($B$103*'Kalkylvärden 1'!$D$170*Diskontering!AE26),($B$103*'Kalkylvärden 1'!$D$169*Diskontering!AE26))),0)</f>
        <v>0</v>
      </c>
      <c r="AF155" s="217">
        <f>IF(Diskontering!AF17&lt;=Diskontering!$A$5,(IF($B$63=0,($B$103*'Kalkylvärden 1'!$D$170*Diskontering!AF26),($B$103*'Kalkylvärden 1'!$D$169*Diskontering!AF26))),0)</f>
        <v>0</v>
      </c>
      <c r="AG155" s="217">
        <f>IF(Diskontering!AG17&lt;=Diskontering!$A$5,(IF($B$63=0,($B$103*'Kalkylvärden 1'!$D$170*Diskontering!AG26),($B$103*'Kalkylvärden 1'!$D$169*Diskontering!AG26))),0)</f>
        <v>0</v>
      </c>
      <c r="AH155" s="217">
        <f>IF(Diskontering!AH17&lt;=Diskontering!$A$5,(IF($B$63=0,($B$103*'Kalkylvärden 1'!$D$170*Diskontering!AH26),($B$103*'Kalkylvärden 1'!$D$169*Diskontering!AH26))),0)</f>
        <v>0</v>
      </c>
      <c r="AI155" s="217">
        <f>IF(Diskontering!AI17&lt;=Diskontering!$A$5,(IF($B$63=0,($B$103*'Kalkylvärden 1'!$D$170*Diskontering!AI26),($B$103*'Kalkylvärden 1'!$D$169*Diskontering!AI26))),0)</f>
        <v>0</v>
      </c>
      <c r="AJ155" s="217">
        <f>IF(Diskontering!AJ17&lt;=Diskontering!$A$5,(IF($B$63=0,($B$103*'Kalkylvärden 1'!$D$170*Diskontering!AJ26),($B$103*'Kalkylvärden 1'!$D$169*Diskontering!AJ26))),0)</f>
        <v>0</v>
      </c>
      <c r="AK155" s="217">
        <f>IF(Diskontering!AK17&lt;=Diskontering!$A$5,(IF($B$63=0,($B$103*'Kalkylvärden 1'!$D$170*Diskontering!AK26),($B$103*'Kalkylvärden 1'!$D$169*Diskontering!AK26))),0)</f>
        <v>0</v>
      </c>
      <c r="AL155" s="217">
        <f>IF(Diskontering!AL17&lt;=Diskontering!$A$5,(IF($B$63=0,($B$103*'Kalkylvärden 1'!$D$170*Diskontering!AL26),($B$103*'Kalkylvärden 1'!$D$169*Diskontering!AL26))),0)</f>
        <v>0</v>
      </c>
      <c r="AM155" s="217">
        <f>IF(Diskontering!AM17&lt;=Diskontering!$A$5,(IF($B$63=0,($B$103*'Kalkylvärden 1'!$D$170*Diskontering!AM26),($B$103*'Kalkylvärden 1'!$D$169*Diskontering!AM26))),0)</f>
        <v>0</v>
      </c>
      <c r="AN155" s="217">
        <f>IF(Diskontering!AN17&lt;=Diskontering!$A$5,(IF($B$63=0,($B$103*'Kalkylvärden 1'!$D$170*Diskontering!AN26),($B$103*'Kalkylvärden 1'!$D$169*Diskontering!AN26))),0)</f>
        <v>0</v>
      </c>
      <c r="AO155" s="217">
        <f>IF(Diskontering!AO17&lt;=Diskontering!$A$5,(IF($B$63=0,($B$103*'Kalkylvärden 1'!$D$170*Diskontering!AO26),($B$103*'Kalkylvärden 1'!$D$169*Diskontering!AO26))),0)</f>
        <v>0</v>
      </c>
      <c r="AP155" s="217">
        <f>IF(Diskontering!AP17&lt;=Diskontering!$A$5,(IF($B$63=0,($B$103*'Kalkylvärden 1'!$D$170*Diskontering!AP26),($B$103*'Kalkylvärden 1'!$D$169*Diskontering!AP26))),0)</f>
        <v>0</v>
      </c>
    </row>
    <row r="156" spans="1:42" s="117" customFormat="1" x14ac:dyDescent="0.25">
      <c r="A156" s="220" t="s">
        <v>526</v>
      </c>
      <c r="B156" s="221">
        <f>B154-B155</f>
        <v>2.3E-2</v>
      </c>
      <c r="C156" s="221">
        <f t="shared" ref="C156:AP156" si="21">C154-C155</f>
        <v>2.2777777777777775E-2</v>
      </c>
      <c r="D156" s="221">
        <f t="shared" si="21"/>
        <v>2.2557702630166397E-2</v>
      </c>
      <c r="E156" s="221">
        <f t="shared" si="21"/>
        <v>2.2339753812483633E-2</v>
      </c>
      <c r="F156" s="221">
        <f t="shared" si="21"/>
        <v>2.2123910780478959E-2</v>
      </c>
      <c r="G156" s="221">
        <f t="shared" si="21"/>
        <v>2.1910153188397039E-2</v>
      </c>
      <c r="H156" s="221">
        <f t="shared" si="21"/>
        <v>2.1698460887059869E-2</v>
      </c>
      <c r="I156" s="221">
        <f t="shared" si="21"/>
        <v>2.1488813921967501E-2</v>
      </c>
      <c r="J156" s="221">
        <f t="shared" si="21"/>
        <v>2.1281192531417092E-2</v>
      </c>
      <c r="K156" s="221">
        <f t="shared" si="21"/>
        <v>2.1075577144640114E-2</v>
      </c>
      <c r="L156" s="221">
        <f t="shared" si="21"/>
        <v>2.0871948379957598E-2</v>
      </c>
      <c r="M156" s="221">
        <f t="shared" si="21"/>
        <v>2.0670287042953178E-2</v>
      </c>
      <c r="N156" s="221">
        <f t="shared" si="21"/>
        <v>2.0470574124663774E-2</v>
      </c>
      <c r="O156" s="221">
        <f t="shared" si="21"/>
        <v>2.0272790799787797E-2</v>
      </c>
      <c r="P156" s="221">
        <f t="shared" si="21"/>
        <v>2.0076918424910623E-2</v>
      </c>
      <c r="Q156" s="221">
        <f t="shared" si="21"/>
        <v>1.9882938536747233E-2</v>
      </c>
      <c r="R156" s="221">
        <f t="shared" si="21"/>
        <v>1.9690832850401851E-2</v>
      </c>
      <c r="S156" s="221">
        <f t="shared" si="21"/>
        <v>1.9500583257644342E-2</v>
      </c>
      <c r="T156" s="221">
        <f t="shared" si="21"/>
        <v>1.9312171825203339E-2</v>
      </c>
      <c r="U156" s="221">
        <f t="shared" si="21"/>
        <v>1.9125580793075768E-2</v>
      </c>
      <c r="V156" s="221">
        <f t="shared" si="21"/>
        <v>1.8940792572852812E-2</v>
      </c>
      <c r="W156" s="221">
        <f t="shared" si="21"/>
        <v>1.8757789746061963E-2</v>
      </c>
      <c r="X156" s="221">
        <f t="shared" si="21"/>
        <v>1.8576555062525132E-2</v>
      </c>
      <c r="Y156" s="221">
        <f t="shared" si="21"/>
        <v>1.8397071438732621E-2</v>
      </c>
      <c r="Z156" s="221">
        <f t="shared" si="21"/>
        <v>1.8219321956232788E-2</v>
      </c>
      <c r="AA156" s="221">
        <f t="shared" si="21"/>
        <v>1.8043289860037299E-2</v>
      </c>
      <c r="AB156" s="221">
        <f t="shared" si="21"/>
        <v>1.7868958557041771E-2</v>
      </c>
      <c r="AC156" s="221">
        <f t="shared" si="21"/>
        <v>1.7696311614461654E-2</v>
      </c>
      <c r="AD156" s="221">
        <f t="shared" si="21"/>
        <v>1.7525332758283281E-2</v>
      </c>
      <c r="AE156" s="221">
        <f t="shared" si="21"/>
        <v>1.7356005871729818E-2</v>
      </c>
      <c r="AF156" s="221">
        <f t="shared" si="21"/>
        <v>1.7188314993742092E-2</v>
      </c>
      <c r="AG156" s="221">
        <f t="shared" si="21"/>
        <v>1.7022244317474053E-2</v>
      </c>
      <c r="AH156" s="221">
        <f t="shared" si="21"/>
        <v>1.6857778188802804E-2</v>
      </c>
      <c r="AI156" s="221">
        <f t="shared" si="21"/>
        <v>1.669490110485302E-2</v>
      </c>
      <c r="AJ156" s="221">
        <f t="shared" si="21"/>
        <v>1.6533597712535597E-2</v>
      </c>
      <c r="AK156" s="221">
        <f t="shared" si="21"/>
        <v>1.6373852807100471E-2</v>
      </c>
      <c r="AL156" s="221">
        <f t="shared" si="21"/>
        <v>1.6215651330703365E-2</v>
      </c>
      <c r="AM156" s="221">
        <f t="shared" si="21"/>
        <v>1.6058978370986424E-2</v>
      </c>
      <c r="AN156" s="221">
        <f t="shared" si="21"/>
        <v>1.5903819159672546E-2</v>
      </c>
      <c r="AO156" s="221">
        <f t="shared" si="21"/>
        <v>1.5750159071173296E-2</v>
      </c>
      <c r="AP156" s="221">
        <f t="shared" si="21"/>
        <v>1.5597983621210268E-2</v>
      </c>
    </row>
    <row r="157" spans="1:42" s="117" customFormat="1" x14ac:dyDescent="0.25">
      <c r="A157" s="220" t="s">
        <v>66</v>
      </c>
      <c r="B157" s="221">
        <f>B143+B144+B147+B149+B152+B153+B156</f>
        <v>7.1992667954184381E-2</v>
      </c>
      <c r="C157" s="221">
        <f t="shared" ref="C157:AP157" si="22">C143+C144+C147+C149+C152+C153+C156</f>
        <v>7.0483651787117046E-2</v>
      </c>
      <c r="D157" s="221">
        <f t="shared" si="22"/>
        <v>6.9007372162443043E-2</v>
      </c>
      <c r="E157" s="221">
        <f t="shared" si="22"/>
        <v>6.7563107362642677E-2</v>
      </c>
      <c r="F157" s="221">
        <f t="shared" si="22"/>
        <v>6.6150151699577234E-2</v>
      </c>
      <c r="G157" s="221">
        <f t="shared" si="22"/>
        <v>6.4767815157233094E-2</v>
      </c>
      <c r="H157" s="221">
        <f t="shared" si="22"/>
        <v>6.3415423042442312E-2</v>
      </c>
      <c r="I157" s="221">
        <f t="shared" si="22"/>
        <v>6.2092315643401452E-2</v>
      </c>
      <c r="J157" s="221">
        <f t="shared" si="22"/>
        <v>6.0797847895814328E-2</v>
      </c>
      <c r="K157" s="221">
        <f t="shared" si="22"/>
        <v>5.8936144763508461E-2</v>
      </c>
      <c r="L157" s="221">
        <f t="shared" si="22"/>
        <v>5.7135190483274936E-2</v>
      </c>
      <c r="M157" s="221">
        <f t="shared" si="22"/>
        <v>5.5392960052261714E-2</v>
      </c>
      <c r="N157" s="221">
        <f t="shared" si="22"/>
        <v>5.3707496470077373E-2</v>
      </c>
      <c r="O157" s="221">
        <f t="shared" si="22"/>
        <v>5.2076908448444918E-2</v>
      </c>
      <c r="P157" s="221">
        <f t="shared" si="22"/>
        <v>5.0499368198104612E-2</v>
      </c>
      <c r="Q157" s="221">
        <f t="shared" si="22"/>
        <v>4.8973109290359015E-2</v>
      </c>
      <c r="R157" s="221">
        <f t="shared" si="22"/>
        <v>4.749642459074014E-2</v>
      </c>
      <c r="S157" s="221">
        <f t="shared" si="22"/>
        <v>4.6067664262364312E-2</v>
      </c>
      <c r="T157" s="221">
        <f t="shared" si="22"/>
        <v>4.4685233836622776E-2</v>
      </c>
      <c r="U157" s="221">
        <f t="shared" si="22"/>
        <v>4.3347592348934857E-2</v>
      </c>
      <c r="V157" s="221">
        <f t="shared" si="22"/>
        <v>4.2053250537367949E-2</v>
      </c>
      <c r="W157" s="221">
        <f t="shared" si="22"/>
        <v>4.0800769102002199E-2</v>
      </c>
      <c r="X157" s="221">
        <f t="shared" si="22"/>
        <v>3.9588757022989848E-2</v>
      </c>
      <c r="Y157" s="221">
        <f t="shared" si="22"/>
        <v>3.8415869935328091E-2</v>
      </c>
      <c r="Z157" s="221">
        <f t="shared" si="22"/>
        <v>3.7280808558431529E-2</v>
      </c>
      <c r="AA157" s="221">
        <f t="shared" si="22"/>
        <v>3.6182317178654555E-2</v>
      </c>
      <c r="AB157" s="221">
        <f t="shared" si="22"/>
        <v>3.5119182182976882E-2</v>
      </c>
      <c r="AC157" s="221">
        <f t="shared" si="22"/>
        <v>3.4090230642125387E-2</v>
      </c>
      <c r="AD157" s="221">
        <f t="shared" si="22"/>
        <v>3.3094328941464093E-2</v>
      </c>
      <c r="AE157" s="221">
        <f t="shared" si="22"/>
        <v>3.2130381458040147E-2</v>
      </c>
      <c r="AF157" s="221">
        <f t="shared" si="22"/>
        <v>3.1197329282228285E-2</v>
      </c>
      <c r="AG157" s="221">
        <f t="shared" si="22"/>
        <v>3.0294148982468745E-2</v>
      </c>
      <c r="AH157" s="221">
        <f t="shared" si="22"/>
        <v>2.9419851411644601E-2</v>
      </c>
      <c r="AI157" s="221">
        <f t="shared" si="22"/>
        <v>2.857348055369327E-2</v>
      </c>
      <c r="AJ157" s="221">
        <f t="shared" si="22"/>
        <v>2.7754112409094742E-2</v>
      </c>
      <c r="AK157" s="221">
        <f t="shared" si="22"/>
        <v>2.6960853917924604E-2</v>
      </c>
      <c r="AL157" s="221">
        <f t="shared" si="22"/>
        <v>2.6192841919204547E-2</v>
      </c>
      <c r="AM157" s="221">
        <f t="shared" si="22"/>
        <v>2.5449242145325478E-2</v>
      </c>
      <c r="AN157" s="221">
        <f t="shared" si="22"/>
        <v>2.472924825036002E-2</v>
      </c>
      <c r="AO157" s="221">
        <f t="shared" si="22"/>
        <v>2.4032080871121003E-2</v>
      </c>
      <c r="AP157" s="221">
        <f t="shared" si="22"/>
        <v>6.2818908565002163E-3</v>
      </c>
    </row>
    <row r="158" spans="1:42" x14ac:dyDescent="0.25">
      <c r="A158" s="36"/>
    </row>
    <row r="159" spans="1:42" s="1" customFormat="1" x14ac:dyDescent="0.25">
      <c r="A159" s="151"/>
      <c r="B159" s="1" t="s">
        <v>269</v>
      </c>
      <c r="C159" s="1" t="s">
        <v>269</v>
      </c>
      <c r="D159" s="1" t="s">
        <v>269</v>
      </c>
      <c r="E159" s="1" t="s">
        <v>269</v>
      </c>
      <c r="F159" s="1" t="s">
        <v>269</v>
      </c>
      <c r="G159" s="1" t="s">
        <v>269</v>
      </c>
      <c r="H159" s="1" t="s">
        <v>269</v>
      </c>
      <c r="I159" s="1" t="s">
        <v>269</v>
      </c>
      <c r="J159" s="1" t="s">
        <v>269</v>
      </c>
      <c r="K159" s="1" t="s">
        <v>269</v>
      </c>
      <c r="L159" s="1" t="s">
        <v>269</v>
      </c>
      <c r="M159" s="1" t="s">
        <v>269</v>
      </c>
      <c r="N159" s="1" t="s">
        <v>269</v>
      </c>
      <c r="O159" s="1" t="s">
        <v>269</v>
      </c>
      <c r="P159" s="1" t="s">
        <v>269</v>
      </c>
      <c r="Q159" s="1" t="s">
        <v>269</v>
      </c>
      <c r="R159" s="1" t="s">
        <v>269</v>
      </c>
      <c r="S159" s="1" t="s">
        <v>269</v>
      </c>
      <c r="T159" s="1" t="s">
        <v>269</v>
      </c>
      <c r="U159" s="1" t="s">
        <v>269</v>
      </c>
      <c r="V159" s="1" t="s">
        <v>269</v>
      </c>
      <c r="W159" s="1" t="s">
        <v>269</v>
      </c>
      <c r="X159" s="1" t="s">
        <v>269</v>
      </c>
      <c r="Y159" s="1" t="s">
        <v>269</v>
      </c>
      <c r="Z159" s="1" t="s">
        <v>269</v>
      </c>
      <c r="AA159" s="1" t="s">
        <v>269</v>
      </c>
      <c r="AB159" s="1" t="s">
        <v>269</v>
      </c>
      <c r="AC159" s="1" t="s">
        <v>269</v>
      </c>
      <c r="AD159" s="1" t="s">
        <v>269</v>
      </c>
      <c r="AE159" s="1" t="s">
        <v>269</v>
      </c>
      <c r="AF159" s="1" t="s">
        <v>269</v>
      </c>
      <c r="AG159" s="1" t="s">
        <v>269</v>
      </c>
      <c r="AH159" s="1" t="s">
        <v>269</v>
      </c>
      <c r="AI159" s="1" t="s">
        <v>269</v>
      </c>
      <c r="AJ159" s="1" t="s">
        <v>269</v>
      </c>
      <c r="AK159" s="1" t="s">
        <v>269</v>
      </c>
      <c r="AL159" s="1" t="s">
        <v>269</v>
      </c>
      <c r="AM159" s="1" t="s">
        <v>269</v>
      </c>
      <c r="AN159" s="1" t="s">
        <v>269</v>
      </c>
      <c r="AO159" s="1" t="s">
        <v>269</v>
      </c>
      <c r="AP159" s="1" t="s">
        <v>269</v>
      </c>
    </row>
    <row r="160" spans="1:42" s="213" customFormat="1" ht="12.75" x14ac:dyDescent="0.2">
      <c r="A160" s="69" t="s">
        <v>527</v>
      </c>
      <c r="B160" s="208">
        <f>B157</f>
        <v>7.1992667954184381E-2</v>
      </c>
      <c r="C160" s="208">
        <f>B160+C157</f>
        <v>0.14247631974130143</v>
      </c>
      <c r="D160" s="208">
        <f>C160+D157</f>
        <v>0.21148369190374447</v>
      </c>
      <c r="E160" s="208">
        <f t="shared" ref="E160:AP160" si="23">D160+E157</f>
        <v>0.27904679926638715</v>
      </c>
      <c r="F160" s="208">
        <f t="shared" si="23"/>
        <v>0.34519695096596437</v>
      </c>
      <c r="G160" s="208">
        <f t="shared" si="23"/>
        <v>0.40996476612319743</v>
      </c>
      <c r="H160" s="208">
        <f t="shared" si="23"/>
        <v>0.47338018916563973</v>
      </c>
      <c r="I160" s="208">
        <f t="shared" si="23"/>
        <v>0.53547250480904118</v>
      </c>
      <c r="J160" s="208">
        <f t="shared" si="23"/>
        <v>0.59627035270485551</v>
      </c>
      <c r="K160" s="208">
        <f t="shared" si="23"/>
        <v>0.65520649746836401</v>
      </c>
      <c r="L160" s="208">
        <f t="shared" si="23"/>
        <v>0.71234168795163899</v>
      </c>
      <c r="M160" s="208">
        <f t="shared" si="23"/>
        <v>0.76773464800390068</v>
      </c>
      <c r="N160" s="208">
        <f t="shared" si="23"/>
        <v>0.82144214447397801</v>
      </c>
      <c r="O160" s="208">
        <f t="shared" si="23"/>
        <v>0.87351905292242293</v>
      </c>
      <c r="P160" s="208">
        <f t="shared" si="23"/>
        <v>0.92401842112052757</v>
      </c>
      <c r="Q160" s="208">
        <f t="shared" si="23"/>
        <v>0.9729915304108866</v>
      </c>
      <c r="R160" s="208">
        <f t="shared" si="23"/>
        <v>1.0204879550016268</v>
      </c>
      <c r="S160" s="208">
        <f t="shared" si="23"/>
        <v>1.0665556192639911</v>
      </c>
      <c r="T160" s="208">
        <f t="shared" si="23"/>
        <v>1.1112408531006139</v>
      </c>
      <c r="U160" s="208">
        <f t="shared" si="23"/>
        <v>1.1545884454495488</v>
      </c>
      <c r="V160" s="208">
        <f t="shared" si="23"/>
        <v>1.1966416959869166</v>
      </c>
      <c r="W160" s="208">
        <f t="shared" si="23"/>
        <v>1.2374424650889189</v>
      </c>
      <c r="X160" s="208">
        <f t="shared" si="23"/>
        <v>1.2770312221119087</v>
      </c>
      <c r="Y160" s="208">
        <f t="shared" si="23"/>
        <v>1.3154470920472368</v>
      </c>
      <c r="Z160" s="208">
        <f t="shared" si="23"/>
        <v>1.3527279006056683</v>
      </c>
      <c r="AA160" s="208">
        <f t="shared" si="23"/>
        <v>1.3889102177843229</v>
      </c>
      <c r="AB160" s="208">
        <f t="shared" si="23"/>
        <v>1.4240293999672997</v>
      </c>
      <c r="AC160" s="208">
        <f t="shared" si="23"/>
        <v>1.4581196306094251</v>
      </c>
      <c r="AD160" s="208">
        <f t="shared" si="23"/>
        <v>1.4912139595508891</v>
      </c>
      <c r="AE160" s="208">
        <f t="shared" si="23"/>
        <v>1.5233443410089293</v>
      </c>
      <c r="AF160" s="208">
        <f t="shared" si="23"/>
        <v>1.5545416702911576</v>
      </c>
      <c r="AG160" s="208">
        <f t="shared" si="23"/>
        <v>1.5848358192736265</v>
      </c>
      <c r="AH160" s="208">
        <f t="shared" si="23"/>
        <v>1.6142556706852711</v>
      </c>
      <c r="AI160" s="208">
        <f t="shared" si="23"/>
        <v>1.6428291512389643</v>
      </c>
      <c r="AJ160" s="208">
        <f t="shared" si="23"/>
        <v>1.6705832636480591</v>
      </c>
      <c r="AK160" s="208">
        <f t="shared" si="23"/>
        <v>1.6975441175659838</v>
      </c>
      <c r="AL160" s="208">
        <f t="shared" si="23"/>
        <v>1.7237369594851883</v>
      </c>
      <c r="AM160" s="208">
        <f t="shared" si="23"/>
        <v>1.7491862016305137</v>
      </c>
      <c r="AN160" s="208">
        <f t="shared" si="23"/>
        <v>1.7739154498808738</v>
      </c>
      <c r="AO160" s="208">
        <f t="shared" si="23"/>
        <v>1.7979475307519948</v>
      </c>
      <c r="AP160" s="208">
        <f t="shared" si="23"/>
        <v>1.8042294216084951</v>
      </c>
    </row>
    <row r="161" spans="1:42" s="11" customFormat="1" x14ac:dyDescent="0.25">
      <c r="A161" s="70"/>
    </row>
    <row r="162" spans="1:42" x14ac:dyDescent="0.25">
      <c r="A162" s="64" t="s">
        <v>501</v>
      </c>
      <c r="B162" s="37">
        <f>IF(Diskontering!B16&lt;=Diskontering!$A$5,($A$108*Diskontering!B25),0)</f>
        <v>0</v>
      </c>
      <c r="C162" s="37">
        <f>IF([1]Diskontering!C16&lt;=[1]Diskontering!$A$5,($A$108*[1]Diskontering!C21),0)</f>
        <v>0</v>
      </c>
      <c r="D162" s="37">
        <f>IF([1]Diskontering!D16&lt;=[1]Diskontering!$A$5,($A$108*[1]Diskontering!D21),0)</f>
        <v>0</v>
      </c>
      <c r="E162" s="37">
        <f>IF([1]Diskontering!E16&lt;=[1]Diskontering!$A$5,($A$108*[1]Diskontering!E21),0)</f>
        <v>0</v>
      </c>
      <c r="F162" s="37">
        <f>IF([1]Diskontering!F16&lt;=[1]Diskontering!$A$5,($A$108*[1]Diskontering!F21),0)</f>
        <v>0</v>
      </c>
      <c r="G162" s="37">
        <f>IF([1]Diskontering!G16&lt;=[1]Diskontering!$A$5,($A$108*[1]Diskontering!G21),0)</f>
        <v>0</v>
      </c>
      <c r="H162" s="37">
        <f>IF([1]Diskontering!H16&lt;=[1]Diskontering!$A$5,($A$108*[1]Diskontering!H21),0)</f>
        <v>0</v>
      </c>
      <c r="I162" s="37">
        <f>IF([1]Diskontering!I16&lt;=[1]Diskontering!$A$5,($A$108*[1]Diskontering!I21),0)</f>
        <v>0</v>
      </c>
      <c r="J162" s="37">
        <f>IF([1]Diskontering!J16&lt;=[1]Diskontering!$A$5,($A$108*[1]Diskontering!J21),0)</f>
        <v>0</v>
      </c>
      <c r="K162" s="37">
        <f>IF([1]Diskontering!K16&lt;=[1]Diskontering!$A$5,($A$108*[1]Diskontering!K21),0)</f>
        <v>0</v>
      </c>
      <c r="L162" s="37">
        <f>IF([1]Diskontering!L16&lt;=[1]Diskontering!$A$5,($A$108*[1]Diskontering!L21),0)</f>
        <v>0</v>
      </c>
      <c r="M162" s="37">
        <f>IF([1]Diskontering!M16&lt;=[1]Diskontering!$A$5,($A$108*[1]Diskontering!M21),0)</f>
        <v>0</v>
      </c>
      <c r="N162" s="37">
        <f>IF([1]Diskontering!N16&lt;=[1]Diskontering!$A$5,($A$108*[1]Diskontering!N21),0)</f>
        <v>0</v>
      </c>
      <c r="O162" s="37">
        <f>IF([1]Diskontering!O16&lt;=[1]Diskontering!$A$5,($A$108*[1]Diskontering!O21),0)</f>
        <v>0</v>
      </c>
      <c r="P162" s="37">
        <f>IF([1]Diskontering!P16&lt;=[1]Diskontering!$A$5,($A$108*[1]Diskontering!P21),0)</f>
        <v>0</v>
      </c>
      <c r="Q162" s="37">
        <f>IF([1]Diskontering!Q16&lt;=[1]Diskontering!$A$5,($A$108*[1]Diskontering!Q21),0)</f>
        <v>0</v>
      </c>
      <c r="R162" s="37">
        <f>IF([1]Diskontering!R16&lt;=[1]Diskontering!$A$5,($A$108*[1]Diskontering!R21),0)</f>
        <v>0</v>
      </c>
      <c r="S162" s="37">
        <f>IF([1]Diskontering!S16&lt;=[1]Diskontering!$A$5,($A$108*[1]Diskontering!S21),0)</f>
        <v>0</v>
      </c>
      <c r="T162" s="37">
        <f>IF([1]Diskontering!T16&lt;=[1]Diskontering!$A$5,($A$108*[1]Diskontering!T21),0)</f>
        <v>0</v>
      </c>
      <c r="U162" s="37">
        <f>IF([1]Diskontering!U16&lt;=[1]Diskontering!$A$5,($A$108*[1]Diskontering!U21),0)</f>
        <v>0</v>
      </c>
      <c r="V162" s="37">
        <f>IF([1]Diskontering!V16&lt;=[1]Diskontering!$A$5,($A$108*[1]Diskontering!V21),0)</f>
        <v>0</v>
      </c>
      <c r="W162" s="37">
        <f>IF([1]Diskontering!W16&lt;=[1]Diskontering!$A$5,($A$108*[1]Diskontering!W21),0)</f>
        <v>0</v>
      </c>
      <c r="X162" s="37">
        <f>IF([1]Diskontering!X16&lt;=[1]Diskontering!$A$5,($A$108*[1]Diskontering!X21),0)</f>
        <v>0</v>
      </c>
      <c r="Y162" s="37">
        <f>IF([1]Diskontering!Y16&lt;=[1]Diskontering!$A$5,($A$108*[1]Diskontering!Y21),0)</f>
        <v>0</v>
      </c>
      <c r="Z162" s="37">
        <f>IF([1]Diskontering!Z16&lt;=[1]Diskontering!$A$5,($A$108*[1]Diskontering!Z21),0)</f>
        <v>0</v>
      </c>
      <c r="AA162" s="37">
        <f>IF([1]Diskontering!AA16&lt;=[1]Diskontering!$A$5,($A$108*[1]Diskontering!AA21),0)</f>
        <v>0</v>
      </c>
      <c r="AB162" s="37">
        <f>IF([1]Diskontering!AB16&lt;=[1]Diskontering!$A$5,($A$108*[1]Diskontering!AB21),0)</f>
        <v>0</v>
      </c>
      <c r="AC162" s="37">
        <f>IF([1]Diskontering!AC16&lt;=[1]Diskontering!$A$5,($A$108*[1]Diskontering!AC21),0)</f>
        <v>0</v>
      </c>
      <c r="AD162" s="37">
        <f>IF([1]Diskontering!AD16&lt;=[1]Diskontering!$A$5,($A$108*[1]Diskontering!AD21),0)</f>
        <v>0</v>
      </c>
      <c r="AE162" s="37">
        <f>IF([1]Diskontering!AE16&lt;=[1]Diskontering!$A$5,($A$108*[1]Diskontering!AE21),0)</f>
        <v>0</v>
      </c>
      <c r="AF162" s="37">
        <f>IF([1]Diskontering!AF16&lt;=[1]Diskontering!$A$5,($A$108*[1]Diskontering!AF21),0)</f>
        <v>0</v>
      </c>
      <c r="AG162" s="37">
        <f>IF([1]Diskontering!AG16&lt;=[1]Diskontering!$A$5,($A$108*[1]Diskontering!AG21),0)</f>
        <v>0</v>
      </c>
      <c r="AH162" s="37">
        <f>IF([1]Diskontering!AH16&lt;=[1]Diskontering!$A$5,($A$108*[1]Diskontering!AH21),0)</f>
        <v>0</v>
      </c>
      <c r="AI162" s="37">
        <f>IF([1]Diskontering!AI16&lt;=[1]Diskontering!$A$5,($A$108*[1]Diskontering!AI21),0)</f>
        <v>0</v>
      </c>
      <c r="AJ162" s="37">
        <f>IF([1]Diskontering!AJ16&lt;=[1]Diskontering!$A$5,($A$108*[1]Diskontering!AJ21),0)</f>
        <v>0</v>
      </c>
      <c r="AK162" s="37">
        <f>IF([1]Diskontering!AK16&lt;=[1]Diskontering!$A$5,($A$108*[1]Diskontering!AK21),0)</f>
        <v>0</v>
      </c>
      <c r="AL162" s="37">
        <f>IF([1]Diskontering!AL16&lt;=[1]Diskontering!$A$5,($A$108*[1]Diskontering!AL21),0)</f>
        <v>0</v>
      </c>
      <c r="AM162" s="37">
        <f>IF([1]Diskontering!AM16&lt;=[1]Diskontering!$A$5,($A$108*[1]Diskontering!AM21),0)</f>
        <v>0</v>
      </c>
      <c r="AN162" s="37">
        <f>IF([1]Diskontering!AN16&lt;=[1]Diskontering!$A$5,($A$108*[1]Diskontering!AN21),0)</f>
        <v>0</v>
      </c>
      <c r="AO162" s="37">
        <f>IF([1]Diskontering!AO16&lt;=[1]Diskontering!$A$5,($A$108*[1]Diskontering!AO21),0)</f>
        <v>0</v>
      </c>
      <c r="AP162" s="37">
        <f>IF([1]Diskontering!AP16&lt;=[1]Diskontering!$A$5,($A$108*[1]Diskontering!AP21),0)</f>
        <v>0</v>
      </c>
    </row>
    <row r="163" spans="1:42" s="170" customFormat="1" x14ac:dyDescent="0.25">
      <c r="A163" s="64" t="s">
        <v>528</v>
      </c>
      <c r="B163" s="223">
        <f>B162</f>
        <v>0</v>
      </c>
      <c r="C163" s="223">
        <f>B163+C162</f>
        <v>0</v>
      </c>
      <c r="D163" s="223">
        <f t="shared" ref="D163:AP163" si="24">C163+D162</f>
        <v>0</v>
      </c>
      <c r="E163" s="223">
        <f t="shared" si="24"/>
        <v>0</v>
      </c>
      <c r="F163" s="223">
        <f t="shared" si="24"/>
        <v>0</v>
      </c>
      <c r="G163" s="223">
        <f t="shared" si="24"/>
        <v>0</v>
      </c>
      <c r="H163" s="223">
        <f t="shared" si="24"/>
        <v>0</v>
      </c>
      <c r="I163" s="223">
        <f t="shared" si="24"/>
        <v>0</v>
      </c>
      <c r="J163" s="223">
        <f t="shared" si="24"/>
        <v>0</v>
      </c>
      <c r="K163" s="223">
        <f t="shared" si="24"/>
        <v>0</v>
      </c>
      <c r="L163" s="223">
        <f t="shared" si="24"/>
        <v>0</v>
      </c>
      <c r="M163" s="223">
        <f t="shared" si="24"/>
        <v>0</v>
      </c>
      <c r="N163" s="223">
        <f t="shared" si="24"/>
        <v>0</v>
      </c>
      <c r="O163" s="223">
        <f t="shared" si="24"/>
        <v>0</v>
      </c>
      <c r="P163" s="223">
        <f t="shared" si="24"/>
        <v>0</v>
      </c>
      <c r="Q163" s="223">
        <f t="shared" si="24"/>
        <v>0</v>
      </c>
      <c r="R163" s="223">
        <f t="shared" si="24"/>
        <v>0</v>
      </c>
      <c r="S163" s="223">
        <f t="shared" si="24"/>
        <v>0</v>
      </c>
      <c r="T163" s="223">
        <f t="shared" si="24"/>
        <v>0</v>
      </c>
      <c r="U163" s="223">
        <f t="shared" si="24"/>
        <v>0</v>
      </c>
      <c r="V163" s="223">
        <f t="shared" si="24"/>
        <v>0</v>
      </c>
      <c r="W163" s="223">
        <f t="shared" si="24"/>
        <v>0</v>
      </c>
      <c r="X163" s="223">
        <f t="shared" si="24"/>
        <v>0</v>
      </c>
      <c r="Y163" s="223">
        <f t="shared" si="24"/>
        <v>0</v>
      </c>
      <c r="Z163" s="223">
        <f t="shared" si="24"/>
        <v>0</v>
      </c>
      <c r="AA163" s="223">
        <f t="shared" si="24"/>
        <v>0</v>
      </c>
      <c r="AB163" s="223">
        <f t="shared" si="24"/>
        <v>0</v>
      </c>
      <c r="AC163" s="223">
        <f t="shared" si="24"/>
        <v>0</v>
      </c>
      <c r="AD163" s="223">
        <f t="shared" si="24"/>
        <v>0</v>
      </c>
      <c r="AE163" s="223">
        <f t="shared" si="24"/>
        <v>0</v>
      </c>
      <c r="AF163" s="223">
        <f t="shared" si="24"/>
        <v>0</v>
      </c>
      <c r="AG163" s="223">
        <f t="shared" si="24"/>
        <v>0</v>
      </c>
      <c r="AH163" s="223">
        <f t="shared" si="24"/>
        <v>0</v>
      </c>
      <c r="AI163" s="223">
        <f t="shared" si="24"/>
        <v>0</v>
      </c>
      <c r="AJ163" s="223">
        <f t="shared" si="24"/>
        <v>0</v>
      </c>
      <c r="AK163" s="223">
        <f t="shared" si="24"/>
        <v>0</v>
      </c>
      <c r="AL163" s="223">
        <f t="shared" si="24"/>
        <v>0</v>
      </c>
      <c r="AM163" s="223">
        <f t="shared" si="24"/>
        <v>0</v>
      </c>
      <c r="AN163" s="223">
        <f t="shared" si="24"/>
        <v>0</v>
      </c>
      <c r="AO163" s="223">
        <f t="shared" si="24"/>
        <v>0</v>
      </c>
      <c r="AP163" s="223">
        <f t="shared" si="24"/>
        <v>0</v>
      </c>
    </row>
    <row r="164" spans="1:42" x14ac:dyDescent="0.25">
      <c r="A164" s="20"/>
    </row>
    <row r="165" spans="1:42" s="1" customFormat="1" x14ac:dyDescent="0.25">
      <c r="A165" s="151"/>
      <c r="B165" s="1" t="s">
        <v>269</v>
      </c>
      <c r="C165" s="1" t="s">
        <v>269</v>
      </c>
      <c r="D165" s="1" t="s">
        <v>269</v>
      </c>
      <c r="E165" s="1" t="s">
        <v>269</v>
      </c>
      <c r="F165" s="1" t="s">
        <v>269</v>
      </c>
      <c r="G165" s="1" t="s">
        <v>269</v>
      </c>
      <c r="H165" s="1" t="s">
        <v>269</v>
      </c>
      <c r="I165" s="1" t="s">
        <v>269</v>
      </c>
      <c r="J165" s="1" t="s">
        <v>269</v>
      </c>
      <c r="K165" s="1" t="s">
        <v>269</v>
      </c>
      <c r="L165" s="1" t="s">
        <v>269</v>
      </c>
      <c r="M165" s="1" t="s">
        <v>269</v>
      </c>
      <c r="N165" s="1" t="s">
        <v>269</v>
      </c>
      <c r="O165" s="1" t="s">
        <v>269</v>
      </c>
      <c r="P165" s="1" t="s">
        <v>269</v>
      </c>
      <c r="Q165" s="1" t="s">
        <v>269</v>
      </c>
      <c r="R165" s="1" t="s">
        <v>269</v>
      </c>
      <c r="S165" s="1" t="s">
        <v>269</v>
      </c>
      <c r="T165" s="1" t="s">
        <v>269</v>
      </c>
      <c r="U165" s="1" t="s">
        <v>269</v>
      </c>
      <c r="V165" s="1" t="s">
        <v>269</v>
      </c>
      <c r="W165" s="1" t="s">
        <v>269</v>
      </c>
      <c r="X165" s="1" t="s">
        <v>269</v>
      </c>
      <c r="Y165" s="1" t="s">
        <v>269</v>
      </c>
      <c r="Z165" s="1" t="s">
        <v>269</v>
      </c>
      <c r="AA165" s="1" t="s">
        <v>269</v>
      </c>
      <c r="AB165" s="1" t="s">
        <v>269</v>
      </c>
      <c r="AC165" s="1" t="s">
        <v>269</v>
      </c>
      <c r="AD165" s="1" t="s">
        <v>269</v>
      </c>
      <c r="AE165" s="1" t="s">
        <v>269</v>
      </c>
      <c r="AF165" s="1" t="s">
        <v>269</v>
      </c>
      <c r="AG165" s="1" t="s">
        <v>269</v>
      </c>
      <c r="AH165" s="1" t="s">
        <v>269</v>
      </c>
      <c r="AI165" s="1" t="s">
        <v>269</v>
      </c>
      <c r="AJ165" s="1" t="s">
        <v>269</v>
      </c>
      <c r="AK165" s="1" t="s">
        <v>269</v>
      </c>
      <c r="AL165" s="1" t="s">
        <v>269</v>
      </c>
      <c r="AM165" s="1" t="s">
        <v>269</v>
      </c>
      <c r="AN165" s="1" t="s">
        <v>269</v>
      </c>
      <c r="AO165" s="1" t="s">
        <v>269</v>
      </c>
      <c r="AP165" s="1" t="s">
        <v>269</v>
      </c>
    </row>
    <row r="166" spans="1:42" s="225" customFormat="1" x14ac:dyDescent="0.25">
      <c r="A166" s="64" t="s">
        <v>529</v>
      </c>
      <c r="B166" s="224">
        <f t="shared" ref="B166:AP166" si="25">B132+B140+B160+B163</f>
        <v>-1.3014842327593572</v>
      </c>
      <c r="C166" s="224">
        <f t="shared" si="25"/>
        <v>-2.5530544177652716</v>
      </c>
      <c r="D166" s="224">
        <f t="shared" si="25"/>
        <v>-3.7566806809179281</v>
      </c>
      <c r="E166" s="224">
        <f t="shared" si="25"/>
        <v>-4.9142537742117831</v>
      </c>
      <c r="F166" s="224">
        <f t="shared" si="25"/>
        <v>-6.0275883167292301</v>
      </c>
      <c r="G166" s="224">
        <f t="shared" si="25"/>
        <v>-7.0984259021886924</v>
      </c>
      <c r="H166" s="224">
        <f t="shared" si="25"/>
        <v>-8.1284380785696246</v>
      </c>
      <c r="I166" s="224">
        <f t="shared" si="25"/>
        <v>-9.1192292051076382</v>
      </c>
      <c r="J166" s="224">
        <f t="shared" si="25"/>
        <v>-10.07233919173329</v>
      </c>
      <c r="K166" s="224">
        <f t="shared" si="25"/>
        <v>-10.989841370110479</v>
      </c>
      <c r="L166" s="224">
        <f t="shared" si="25"/>
        <v>-11.873121167078654</v>
      </c>
      <c r="M166" s="224">
        <f t="shared" si="25"/>
        <v>-12.723508542731157</v>
      </c>
      <c r="N166" s="224">
        <f t="shared" si="25"/>
        <v>-13.542280251664272</v>
      </c>
      <c r="O166" s="224">
        <f t="shared" si="25"/>
        <v>-14.330662011040976</v>
      </c>
      <c r="P166" s="224">
        <f t="shared" si="25"/>
        <v>-15.089830579333137</v>
      </c>
      <c r="Q166" s="224">
        <f t="shared" si="25"/>
        <v>-15.820915749445241</v>
      </c>
      <c r="R166" s="224">
        <f t="shared" si="25"/>
        <v>-16.525002259768687</v>
      </c>
      <c r="S166" s="224">
        <f t="shared" si="25"/>
        <v>-17.203131626567963</v>
      </c>
      <c r="T166" s="224">
        <f t="shared" si="25"/>
        <v>-17.856303900958654</v>
      </c>
      <c r="U166" s="224">
        <f t="shared" si="25"/>
        <v>-18.485479353601622</v>
      </c>
      <c r="V166" s="224">
        <f t="shared" si="25"/>
        <v>-19.091580090107676</v>
      </c>
      <c r="W166" s="224">
        <f t="shared" si="25"/>
        <v>-19.675491600022696</v>
      </c>
      <c r="X166" s="224">
        <f t="shared" si="25"/>
        <v>-20.23806424214369</v>
      </c>
      <c r="Y166" s="224">
        <f t="shared" si="25"/>
        <v>-20.780114668802032</v>
      </c>
      <c r="Z166" s="224">
        <f t="shared" si="25"/>
        <v>-21.302427191640415</v>
      </c>
      <c r="AA166" s="224">
        <f t="shared" si="25"/>
        <v>-21.805755091305169</v>
      </c>
      <c r="AB166" s="224">
        <f t="shared" si="25"/>
        <v>-22.290821873374785</v>
      </c>
      <c r="AC166" s="224">
        <f t="shared" si="25"/>
        <v>-22.758322472749168</v>
      </c>
      <c r="AD166" s="224">
        <f t="shared" si="25"/>
        <v>-23.208924408631617</v>
      </c>
      <c r="AE166" s="224">
        <f t="shared" si="25"/>
        <v>-23.643268892146974</v>
      </c>
      <c r="AF166" s="224">
        <f t="shared" si="25"/>
        <v>-24.061971888554442</v>
      </c>
      <c r="AG166" s="224">
        <f t="shared" si="25"/>
        <v>-24.465625135932328</v>
      </c>
      <c r="AH166" s="224">
        <f t="shared" si="25"/>
        <v>-24.854797122133764</v>
      </c>
      <c r="AI166" s="224">
        <f t="shared" si="25"/>
        <v>-25.230034021738039</v>
      </c>
      <c r="AJ166" s="224">
        <f t="shared" si="25"/>
        <v>-25.591860594650239</v>
      </c>
      <c r="AK166" s="224">
        <f t="shared" si="25"/>
        <v>-25.94078104793352</v>
      </c>
      <c r="AL166" s="224">
        <f t="shared" si="25"/>
        <v>-26.277279862392383</v>
      </c>
      <c r="AM166" s="224">
        <f t="shared" si="25"/>
        <v>-26.601822585362392</v>
      </c>
      <c r="AN166" s="224">
        <f t="shared" si="25"/>
        <v>-26.91485659110133</v>
      </c>
      <c r="AO166" s="224">
        <f t="shared" si="25"/>
        <v>-27.216811810118799</v>
      </c>
      <c r="AP166" s="224">
        <f t="shared" si="25"/>
        <v>-27.525176524589355</v>
      </c>
    </row>
    <row r="170" spans="1:42" ht="15.75" x14ac:dyDescent="0.25">
      <c r="A170" s="10" t="s">
        <v>267</v>
      </c>
    </row>
    <row r="171" spans="1:42" x14ac:dyDescent="0.25">
      <c r="A171" s="43" t="s">
        <v>268</v>
      </c>
    </row>
    <row r="173" spans="1:42" x14ac:dyDescent="0.25">
      <c r="A173" s="39" t="s">
        <v>530</v>
      </c>
    </row>
    <row r="174" spans="1:42" x14ac:dyDescent="0.25">
      <c r="A174" t="s">
        <v>505</v>
      </c>
      <c r="B174" s="226">
        <f>SUM(B126:AP126)</f>
        <v>-1.1586545258921117</v>
      </c>
    </row>
    <row r="175" spans="1:42" x14ac:dyDescent="0.25">
      <c r="A175" t="s">
        <v>506</v>
      </c>
      <c r="B175" s="226">
        <f>SUM(B127:AP127)</f>
        <v>-2.130122942556941</v>
      </c>
    </row>
    <row r="176" spans="1:42" x14ac:dyDescent="0.25">
      <c r="A176" t="s">
        <v>52</v>
      </c>
      <c r="B176" s="226">
        <f>SUM(B128:AP128)</f>
        <v>0</v>
      </c>
    </row>
    <row r="178" spans="1:2" x14ac:dyDescent="0.25">
      <c r="A178" s="39" t="s">
        <v>531</v>
      </c>
    </row>
    <row r="179" spans="1:2" x14ac:dyDescent="0.25">
      <c r="A179" t="s">
        <v>486</v>
      </c>
      <c r="B179" s="226">
        <f>SUM(B135:AP135)</f>
        <v>-2.329557054409424</v>
      </c>
    </row>
    <row r="180" spans="1:2" x14ac:dyDescent="0.25">
      <c r="A180" t="s">
        <v>510</v>
      </c>
      <c r="B180" s="226">
        <f>SUM(B136:AP136)+SUM(B137:AP137)</f>
        <v>-23.711071423339384</v>
      </c>
    </row>
    <row r="182" spans="1:2" x14ac:dyDescent="0.25">
      <c r="A182" s="39" t="s">
        <v>335</v>
      </c>
    </row>
    <row r="183" spans="1:2" x14ac:dyDescent="0.25">
      <c r="A183" t="s">
        <v>532</v>
      </c>
      <c r="B183" s="226">
        <f>SUM(B157:AP157)</f>
        <v>1.8042294216084951</v>
      </c>
    </row>
    <row r="185" spans="1:2" x14ac:dyDescent="0.25">
      <c r="A185" s="39" t="s">
        <v>365</v>
      </c>
    </row>
    <row r="186" spans="1:2" x14ac:dyDescent="0.25">
      <c r="A186" t="s">
        <v>533</v>
      </c>
      <c r="B186" s="227">
        <f>SUM(B162:AP162)</f>
        <v>0</v>
      </c>
    </row>
    <row r="188" spans="1:2" x14ac:dyDescent="0.25">
      <c r="A188" s="192" t="s">
        <v>534</v>
      </c>
      <c r="B188" s="228">
        <f>SUM(B174:B186)</f>
        <v>-27.525176524589362</v>
      </c>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15"/>
  <sheetViews>
    <sheetView topLeftCell="A76" zoomScaleNormal="100" workbookViewId="0">
      <selection activeCell="B83" sqref="B83"/>
    </sheetView>
  </sheetViews>
  <sheetFormatPr defaultColWidth="9.140625" defaultRowHeight="15" x14ac:dyDescent="0.25"/>
  <cols>
    <col min="1" max="1" width="30.85546875" style="20" customWidth="1"/>
    <col min="2" max="2" width="14.28515625" style="19" bestFit="1" customWidth="1"/>
    <col min="3" max="3" width="12.7109375" style="19" bestFit="1" customWidth="1"/>
    <col min="4" max="6" width="11.7109375" style="19" bestFit="1" customWidth="1"/>
    <col min="7" max="7" width="11.28515625" style="19" customWidth="1"/>
    <col min="8" max="9" width="11.42578125" style="19" customWidth="1"/>
    <col min="10" max="10" width="14.140625" style="19" customWidth="1"/>
    <col min="11" max="11" width="12.7109375" style="19" customWidth="1"/>
    <col min="12" max="12" width="12.7109375" style="19" bestFit="1" customWidth="1"/>
    <col min="13" max="13" width="8.85546875" style="19" customWidth="1"/>
    <col min="14" max="14" width="12.7109375" style="19" bestFit="1" customWidth="1"/>
    <col min="15" max="15" width="9.42578125" style="19" customWidth="1"/>
    <col min="16" max="16" width="9.7109375" style="19" customWidth="1"/>
    <col min="17" max="17" width="9.28515625" style="19" customWidth="1"/>
    <col min="18" max="18" width="9.5703125" style="19" customWidth="1"/>
    <col min="19" max="19" width="9.140625" style="19" customWidth="1"/>
    <col min="20" max="20" width="10.140625" style="19" customWidth="1"/>
    <col min="21" max="21" width="12.140625" style="19" customWidth="1"/>
    <col min="22" max="22" width="10" style="19" customWidth="1"/>
    <col min="23" max="23" width="12.5703125" style="19" customWidth="1"/>
    <col min="24" max="24" width="12.7109375" style="19" bestFit="1" customWidth="1"/>
    <col min="25" max="26" width="12.7109375" style="20" bestFit="1" customWidth="1"/>
    <col min="27" max="27" width="15" style="19" customWidth="1"/>
    <col min="28" max="28" width="11.7109375" style="19" customWidth="1"/>
    <col min="29" max="29" width="12.85546875" style="19" bestFit="1" customWidth="1"/>
    <col min="30" max="30" width="12.7109375" style="20" bestFit="1" customWidth="1"/>
    <col min="31" max="31" width="10.42578125" style="20" customWidth="1"/>
    <col min="32" max="32" width="13.140625" style="20" customWidth="1"/>
    <col min="33" max="33" width="12.42578125" style="20" customWidth="1"/>
    <col min="34" max="35" width="11.85546875" style="19" customWidth="1"/>
    <col min="36" max="36" width="12.7109375" style="20" bestFit="1" customWidth="1"/>
    <col min="37" max="37" width="12.140625" style="20" bestFit="1" customWidth="1"/>
    <col min="38" max="38" width="11.7109375" style="20" customWidth="1"/>
    <col min="39" max="41" width="12" style="20" customWidth="1"/>
    <col min="42" max="42" width="10.7109375" style="20" customWidth="1"/>
    <col min="43" max="43" width="11.140625" style="20" customWidth="1"/>
    <col min="44" max="44" width="12.7109375" style="19" bestFit="1" customWidth="1"/>
    <col min="45" max="45" width="10" style="20" customWidth="1"/>
    <col min="46" max="46" width="10" style="19" customWidth="1"/>
    <col min="47" max="49" width="11" style="19" customWidth="1"/>
    <col min="50" max="50" width="12.7109375" style="19" bestFit="1" customWidth="1"/>
    <col min="51" max="51" width="11.28515625" style="19" customWidth="1"/>
    <col min="52" max="52" width="12" style="19" customWidth="1"/>
    <col min="53" max="53" width="30" style="44" bestFit="1" customWidth="1"/>
    <col min="54" max="54" width="11.7109375" style="44" customWidth="1"/>
    <col min="55" max="55" width="11.28515625" style="44" customWidth="1"/>
    <col min="56" max="56" width="19.5703125" style="44" customWidth="1"/>
    <col min="57" max="58" width="11.42578125" style="44" customWidth="1"/>
    <col min="59" max="59" width="12.7109375" style="44" bestFit="1" customWidth="1"/>
    <col min="60" max="62" width="12.5703125" style="44" customWidth="1"/>
    <col min="63" max="63" width="13.5703125" style="44" customWidth="1"/>
    <col min="64" max="64" width="11.5703125" style="44" customWidth="1"/>
    <col min="65" max="16384" width="9.140625" style="20"/>
  </cols>
  <sheetData>
    <row r="1" spans="1:64" ht="21" thickBot="1" x14ac:dyDescent="0.35">
      <c r="A1" s="47" t="s">
        <v>272</v>
      </c>
      <c r="D1" s="48"/>
    </row>
    <row r="2" spans="1:64" ht="21" thickBot="1" x14ac:dyDescent="0.35">
      <c r="A2" s="47" t="s">
        <v>611</v>
      </c>
      <c r="D2" s="49"/>
      <c r="G2" s="19">
        <f>30/20</f>
        <v>1.5</v>
      </c>
      <c r="AC2" s="304">
        <f>43*60*2*2</f>
        <v>10320</v>
      </c>
      <c r="AM2" s="271"/>
      <c r="AN2" s="272" t="s">
        <v>316</v>
      </c>
      <c r="AO2" s="269"/>
      <c r="AP2" s="269"/>
      <c r="AQ2" s="270"/>
      <c r="AS2" s="51"/>
    </row>
    <row r="3" spans="1:64" x14ac:dyDescent="0.25">
      <c r="I3" s="145"/>
      <c r="Y3" s="147"/>
      <c r="AD3" s="712" t="s">
        <v>273</v>
      </c>
      <c r="AE3" s="713"/>
      <c r="AF3" s="713"/>
      <c r="AG3" s="713"/>
      <c r="AH3" s="713"/>
      <c r="AI3" s="713"/>
      <c r="AJ3" s="712" t="s">
        <v>274</v>
      </c>
      <c r="AK3" s="712"/>
      <c r="AL3" s="712"/>
      <c r="AM3" s="712"/>
      <c r="AN3" s="712"/>
      <c r="AO3" s="712"/>
      <c r="AP3" s="712"/>
      <c r="AQ3" s="712"/>
      <c r="BA3" s="51" t="s">
        <v>275</v>
      </c>
      <c r="BB3" s="51"/>
      <c r="BC3" s="51"/>
      <c r="BD3" s="51" t="s">
        <v>275</v>
      </c>
      <c r="BE3" s="51" t="s">
        <v>276</v>
      </c>
      <c r="BF3" s="51"/>
      <c r="BH3" s="714" t="s">
        <v>277</v>
      </c>
      <c r="BI3" s="714"/>
      <c r="BJ3" s="714"/>
      <c r="BK3" s="715"/>
      <c r="BL3" s="715"/>
    </row>
    <row r="4" spans="1:64" s="53" customFormat="1" ht="99" customHeight="1" x14ac:dyDescent="0.25">
      <c r="A4" s="53" t="s">
        <v>278</v>
      </c>
      <c r="B4" s="45" t="s">
        <v>601</v>
      </c>
      <c r="C4" s="45" t="s">
        <v>279</v>
      </c>
      <c r="D4" s="45" t="s">
        <v>280</v>
      </c>
      <c r="E4" s="45" t="s">
        <v>280</v>
      </c>
      <c r="F4" s="45" t="s">
        <v>281</v>
      </c>
      <c r="G4" s="45" t="s">
        <v>282</v>
      </c>
      <c r="H4" s="45" t="s">
        <v>283</v>
      </c>
      <c r="I4" s="45" t="s">
        <v>284</v>
      </c>
      <c r="J4" s="45" t="s">
        <v>285</v>
      </c>
      <c r="K4" s="45" t="s">
        <v>286</v>
      </c>
      <c r="L4" s="45" t="s">
        <v>287</v>
      </c>
      <c r="M4" s="45" t="s">
        <v>287</v>
      </c>
      <c r="N4" s="45" t="s">
        <v>287</v>
      </c>
      <c r="O4" s="45" t="s">
        <v>287</v>
      </c>
      <c r="P4" s="45" t="s">
        <v>287</v>
      </c>
      <c r="Q4" s="45" t="s">
        <v>287</v>
      </c>
      <c r="R4" s="45" t="s">
        <v>287</v>
      </c>
      <c r="S4" s="45" t="s">
        <v>287</v>
      </c>
      <c r="T4" s="45" t="s">
        <v>287</v>
      </c>
      <c r="U4" s="45" t="s">
        <v>288</v>
      </c>
      <c r="V4" s="45" t="s">
        <v>287</v>
      </c>
      <c r="W4" s="45" t="s">
        <v>289</v>
      </c>
      <c r="X4" s="45" t="s">
        <v>290</v>
      </c>
      <c r="Y4" s="716" t="s">
        <v>291</v>
      </c>
      <c r="Z4" s="717"/>
      <c r="AA4" s="54" t="s">
        <v>292</v>
      </c>
      <c r="AB4" s="55" t="s">
        <v>293</v>
      </c>
      <c r="AC4" s="305" t="s">
        <v>608</v>
      </c>
      <c r="AD4" s="45" t="s">
        <v>79</v>
      </c>
      <c r="AE4" s="45" t="s">
        <v>294</v>
      </c>
      <c r="AF4" s="45" t="s">
        <v>295</v>
      </c>
      <c r="AG4" s="45" t="s">
        <v>295</v>
      </c>
      <c r="AH4" s="45" t="s">
        <v>295</v>
      </c>
      <c r="AI4" s="45" t="s">
        <v>295</v>
      </c>
      <c r="AJ4" s="45" t="s">
        <v>604</v>
      </c>
      <c r="AK4" s="45" t="s">
        <v>294</v>
      </c>
      <c r="AL4" s="45" t="s">
        <v>296</v>
      </c>
      <c r="AM4" s="45" t="s">
        <v>296</v>
      </c>
      <c r="AN4" s="45" t="s">
        <v>296</v>
      </c>
      <c r="AO4" s="45" t="s">
        <v>296</v>
      </c>
      <c r="AP4" s="45" t="s">
        <v>296</v>
      </c>
      <c r="AQ4" s="45" t="s">
        <v>296</v>
      </c>
      <c r="AR4" s="300" t="s">
        <v>600</v>
      </c>
      <c r="AT4" s="45" t="s">
        <v>297</v>
      </c>
      <c r="AU4" s="45" t="s">
        <v>298</v>
      </c>
      <c r="AV4" s="45" t="s">
        <v>297</v>
      </c>
      <c r="AW4" s="45" t="s">
        <v>298</v>
      </c>
      <c r="AX4" s="45" t="s">
        <v>299</v>
      </c>
      <c r="AY4" s="45" t="s">
        <v>300</v>
      </c>
      <c r="AZ4" s="45" t="s">
        <v>300</v>
      </c>
      <c r="BA4" s="314" t="s">
        <v>300</v>
      </c>
      <c r="BB4" s="314" t="s">
        <v>300</v>
      </c>
      <c r="BC4" s="314" t="s">
        <v>300</v>
      </c>
      <c r="BD4" s="314" t="s">
        <v>300</v>
      </c>
      <c r="BE4" s="314" t="s">
        <v>300</v>
      </c>
      <c r="BF4" s="314" t="s">
        <v>300</v>
      </c>
      <c r="BG4" s="46" t="s">
        <v>301</v>
      </c>
      <c r="BH4" s="46" t="s">
        <v>369</v>
      </c>
      <c r="BI4" s="46" t="s">
        <v>302</v>
      </c>
      <c r="BJ4" s="46" t="s">
        <v>303</v>
      </c>
      <c r="BK4" s="46" t="s">
        <v>304</v>
      </c>
      <c r="BL4" s="46"/>
    </row>
    <row r="5" spans="1:64" s="58" customFormat="1" ht="75" x14ac:dyDescent="0.25">
      <c r="A5" s="56" t="s">
        <v>305</v>
      </c>
      <c r="B5" s="55"/>
      <c r="C5" s="55"/>
      <c r="D5" s="55" t="s">
        <v>169</v>
      </c>
      <c r="E5" s="55" t="s">
        <v>118</v>
      </c>
      <c r="F5" s="55" t="s">
        <v>306</v>
      </c>
      <c r="G5" s="55" t="s">
        <v>307</v>
      </c>
      <c r="H5" s="55" t="s">
        <v>307</v>
      </c>
      <c r="I5" s="55" t="s">
        <v>308</v>
      </c>
      <c r="J5" s="55" t="s">
        <v>309</v>
      </c>
      <c r="K5" s="55" t="s">
        <v>310</v>
      </c>
      <c r="L5" s="55" t="str">
        <f>[1]Kalkylvärden!L100</f>
        <v>Jordbruk</v>
      </c>
      <c r="M5" s="55" t="str">
        <f>[1]Kalkylvärden!L101</f>
        <v>Rundvirke</v>
      </c>
      <c r="N5" s="55" t="str">
        <f>[1]Kalkylvärden!L102</f>
        <v>Trävaror</v>
      </c>
      <c r="O5" s="55" t="str">
        <f>[1]Kalkylvärden!L103</f>
        <v>Livsmedel</v>
      </c>
      <c r="P5" s="55" t="str">
        <f>[1]Kalkylvärden!L104</f>
        <v>Råolja och kol</v>
      </c>
      <c r="Q5" s="55" t="str">
        <f>[1]Kalkylvärden!L105</f>
        <v>Oljeprod., inkl. tjära</v>
      </c>
      <c r="R5" s="55" t="str">
        <f>[1]Kalkylvärden!L106</f>
        <v>Järnmalm och skrot</v>
      </c>
      <c r="S5" s="55" t="str">
        <f>[1]Kalkylvärden!L107</f>
        <v>Stål</v>
      </c>
      <c r="T5" s="55" t="str">
        <f>[1]Kalkylvärden!L108</f>
        <v>Papper och massa</v>
      </c>
      <c r="U5" s="55" t="str">
        <f>[1]Kalkylvärden!L109</f>
        <v>Jord, sten och byggnad</v>
      </c>
      <c r="V5" s="55" t="str">
        <f>[1]Kalkylvärden!L110</f>
        <v>Kemikalier</v>
      </c>
      <c r="W5" s="55" t="str">
        <f>[1]Kalkylvärden!L111</f>
        <v>Färdiga industriprod.</v>
      </c>
      <c r="X5" s="57" t="s">
        <v>1</v>
      </c>
      <c r="Y5" s="55" t="s">
        <v>311</v>
      </c>
      <c r="Z5" s="55" t="s">
        <v>312</v>
      </c>
      <c r="AA5" s="55" t="s">
        <v>313</v>
      </c>
      <c r="AB5" s="55" t="s">
        <v>1</v>
      </c>
      <c r="AC5" s="55" t="s">
        <v>1</v>
      </c>
      <c r="AD5" s="55" t="s">
        <v>258</v>
      </c>
      <c r="AE5" s="55" t="s">
        <v>258</v>
      </c>
      <c r="AF5" s="55" t="s">
        <v>314</v>
      </c>
      <c r="AG5" s="55" t="s">
        <v>315</v>
      </c>
      <c r="AH5" s="55" t="s">
        <v>316</v>
      </c>
      <c r="AI5" s="55" t="s">
        <v>317</v>
      </c>
      <c r="AJ5" s="45" t="s">
        <v>318</v>
      </c>
      <c r="AK5" s="45" t="s">
        <v>318</v>
      </c>
      <c r="AL5" s="301" t="s">
        <v>602</v>
      </c>
      <c r="AM5" s="301" t="s">
        <v>603</v>
      </c>
      <c r="AN5" s="301" t="s">
        <v>606</v>
      </c>
      <c r="AO5" s="301" t="s">
        <v>607</v>
      </c>
      <c r="AP5" s="302" t="s">
        <v>316</v>
      </c>
      <c r="AQ5" s="301" t="s">
        <v>605</v>
      </c>
      <c r="AR5" s="303" t="s">
        <v>319</v>
      </c>
      <c r="AT5" s="45" t="s">
        <v>258</v>
      </c>
      <c r="AU5" s="45" t="s">
        <v>258</v>
      </c>
      <c r="AV5" s="45" t="s">
        <v>318</v>
      </c>
      <c r="AW5" s="45" t="s">
        <v>318</v>
      </c>
      <c r="AX5" s="55" t="s">
        <v>320</v>
      </c>
      <c r="AY5" s="55" t="s">
        <v>566</v>
      </c>
      <c r="AZ5" s="55" t="s">
        <v>321</v>
      </c>
      <c r="BA5" s="314" t="s">
        <v>322</v>
      </c>
      <c r="BB5" s="314" t="s">
        <v>323</v>
      </c>
      <c r="BC5" s="314" t="s">
        <v>324</v>
      </c>
      <c r="BD5" s="314" t="s">
        <v>325</v>
      </c>
      <c r="BE5" s="314" t="s">
        <v>326</v>
      </c>
      <c r="BF5" s="314" t="s">
        <v>327</v>
      </c>
      <c r="BG5" s="52" t="s">
        <v>106</v>
      </c>
      <c r="BH5" s="52"/>
      <c r="BI5" s="52"/>
      <c r="BJ5" s="52"/>
      <c r="BK5" s="52"/>
      <c r="BL5" s="52"/>
    </row>
    <row r="6" spans="1:64" x14ac:dyDescent="0.25">
      <c r="A6" s="20" t="s">
        <v>757</v>
      </c>
      <c r="B6" s="262">
        <f>142251/2</f>
        <v>71125.5</v>
      </c>
      <c r="C6" s="307">
        <v>642</v>
      </c>
      <c r="D6" s="307">
        <v>0</v>
      </c>
      <c r="E6" s="307">
        <v>13</v>
      </c>
      <c r="F6" s="307">
        <v>0</v>
      </c>
      <c r="G6" s="610">
        <v>0.3</v>
      </c>
      <c r="H6" s="611">
        <v>0.45</v>
      </c>
      <c r="I6" s="307"/>
      <c r="J6" s="307"/>
      <c r="K6" s="307"/>
      <c r="L6" s="262"/>
      <c r="M6" s="262">
        <v>30</v>
      </c>
      <c r="N6" s="262"/>
      <c r="O6" s="262"/>
      <c r="P6" s="262"/>
      <c r="Q6" s="262"/>
      <c r="R6" s="262"/>
      <c r="S6" s="262"/>
      <c r="T6" s="262">
        <v>40</v>
      </c>
      <c r="U6" s="262"/>
      <c r="V6" s="262">
        <v>30</v>
      </c>
      <c r="W6" s="262"/>
      <c r="X6" s="19">
        <f>IF(SUM(L6:W6)=100,SUM(L6:W6),"FEL")</f>
        <v>100</v>
      </c>
      <c r="Y6" s="498">
        <v>20</v>
      </c>
      <c r="Z6" s="498">
        <v>10</v>
      </c>
      <c r="AA6" s="498">
        <v>55</v>
      </c>
      <c r="AB6" s="32">
        <f>(H6-G6)/(G6+J6+(F6*'Kalkylvärden 1'!$G$9/60))*100</f>
        <v>50.000000000000014</v>
      </c>
      <c r="AC6" s="60">
        <f>(I6/100+(AB6/100*(AE6*G6*60)/AH6))*100</f>
        <v>11.941617523635903</v>
      </c>
      <c r="AD6" s="20">
        <f>('Kalkylvärden 1'!D$97+'Gods UA1'!Y6*('Kalkylvärden 1'!D$98*(1-'Gods UA1'!AA6/100)+'Kalkylvärden 1'!D$99*'Gods UA1'!AA6/100)+'Gods UA1'!Z6*('Kalkylvärden 1'!D$100*(1-'Gods UA1'!AA6/100)+'Kalkylvärden 1'!D$101*'Gods UA1'!AA6/100))*'Gods UA1'!D6/('Gods UA1'!D6+'Gods UA1'!E6)+('Kalkylvärden 1'!E$97+'Gods UA1'!Y6*('Kalkylvärden 1'!E$98*(1-'Gods UA1'!AA6/100)+'Kalkylvärden 1'!E$99*'Gods UA1'!AA6/100)+'Gods UA1'!Z6*('Kalkylvärden 1'!E$100*(1-'Gods UA1'!AA6/100)+'Kalkylvärden 1'!E$101*'Gods UA1'!AA6/100))*'Gods UA1'!E6/('Gods UA1'!D6+'Gods UA1'!E6)</f>
        <v>82.924148159999987</v>
      </c>
      <c r="AE6" s="312">
        <f>'Kalkylvärden 1'!D$103+'Gods UA1'!Y6*'Kalkylvärden 1'!D$104+'Gods UA1'!Z6*'Kalkylvärden 1'!D$105</f>
        <v>54.767843200000002</v>
      </c>
      <c r="AF6" s="34">
        <f>AD6*(D6+E6)*2</f>
        <v>2156.0278521599998</v>
      </c>
      <c r="AG6" s="34">
        <f>(AE6*G6*60*2)+(F6*AE6*'Kalkylvärden 1'!$G$9*2)+(J6*'Kalkylvärden 1'!$G$10*'Kalkylvärden 1'!M$100)+('Gods UA1'!B6/'Gods UA1'!C6*'Gods UA1'!K6*'Kalkylvärden 1'!$D$11)</f>
        <v>1971.6423552000001</v>
      </c>
      <c r="AH6" s="34">
        <f>AF6+AG6</f>
        <v>4127.6702073599999</v>
      </c>
      <c r="AI6" s="34">
        <f>AH6*C6</f>
        <v>2649964.27312512</v>
      </c>
      <c r="AJ6" s="20">
        <f>('Kalkylvärden 1'!D$97+'Gods UA1'!Y6*('Kalkylvärden 1'!D$98*(1-'Gods UA1'!AA6/100)+'Kalkylvärden 1'!D$99*'Gods UA1'!AA6/100)+'Gods UA1'!Z6*('Kalkylvärden 1'!D$100*(1-'Gods UA1'!AA6/100)+'Kalkylvärden 1'!D$101*'Gods UA1'!AA6/100))*'Gods UA1'!D6/('Gods UA1'!D6+'Gods UA1'!E6)+('Kalkylvärden 1'!E$97+'Gods UA1'!Y6*('Kalkylvärden 1'!E$98*(1-'Gods UA1'!AA6/100)+'Kalkylvärden 1'!E$99*'Gods UA1'!AA6/100)+'Gods UA1'!Z6*('Kalkylvärden 1'!E$100*(1-'Gods UA1'!AA6/100)+'Kalkylvärden 1'!E$101*'Gods UA1'!AA6/100))*'Gods UA1'!E6/('Gods UA1'!D6+'Gods UA1'!E6)</f>
        <v>82.924148159999987</v>
      </c>
      <c r="AK6" s="313">
        <f>'Kalkylvärden 1'!D$103+'Gods UA1'!Y6*'Kalkylvärden 1'!D$104+'Gods UA1'!Z6*'Kalkylvärden 1'!D$105</f>
        <v>54.767843200000002</v>
      </c>
      <c r="AL6" s="34">
        <f>AJ6*(D6+E6)*2</f>
        <v>2156.0278521599998</v>
      </c>
      <c r="AM6" s="34">
        <f>(AK6*H6*60*2)+(AK6*F6*'Kalkylvärden 1'!$G$9*2)+(J6*'Kalkylvärden 1'!$G$10*'Kalkylvärden 1'!M$100)+(B6/C6*K6*'Kalkylvärden 1'!$D$11)</f>
        <v>2957.4635327999999</v>
      </c>
      <c r="AN6" s="34">
        <f>AL6+(AL6+AM6)*(AC6/100)*AL6/(AL6+AM6)</f>
        <v>2413.4924519680089</v>
      </c>
      <c r="AO6" s="34">
        <f>AM6+(AL6+AM6)*AC6/100*AM6/(AL6+AM6)</f>
        <v>3310.6325162879862</v>
      </c>
      <c r="AP6" s="34">
        <f>AN6+AO6</f>
        <v>5724.1249682559956</v>
      </c>
      <c r="AQ6" s="34">
        <f>AP6*C6</f>
        <v>3674888.2296203491</v>
      </c>
      <c r="AR6" s="34">
        <f>AI6-AQ6</f>
        <v>-1024923.9564952292</v>
      </c>
      <c r="AS6" s="34" t="s">
        <v>328</v>
      </c>
      <c r="AT6" s="34">
        <f>(AF6*C6)/(B6*(D6+E6)*2)</f>
        <v>0.74849812119029036</v>
      </c>
      <c r="AU6" s="34">
        <f>(AG6*C6)/((B6*(G6+J6))+(B6*'Kalkylvärden 1'!$G$9/60*F6))</f>
        <v>59.322108668874044</v>
      </c>
      <c r="AV6" s="34">
        <f>(AN6*C6)/((D6+E6)*2*B6)</f>
        <v>0.83788090399443538</v>
      </c>
      <c r="AW6" s="34">
        <f>(AO6*C6)/((B6*(G6+J6))+(B6*'Kalkylvärden 1'!$G$9/60*F6))</f>
        <v>99.60919198959995</v>
      </c>
      <c r="AX6" s="34">
        <f>-AC6/100*'Kalkylvärden 1'!$B$23*'Gods UA1'!B6</f>
        <v>-3397.4140687094618</v>
      </c>
      <c r="AY6" s="34">
        <f>IF(AX6&lt;0,((B6+AX6)*(AT6-AV6)),B6*(AT6-AV6))</f>
        <v>-6053.7247945370127</v>
      </c>
      <c r="AZ6" s="34">
        <f>IF(AX6&lt;0,(B6+AX6)*(AU6-AW6),B6*(AU6-AW6))</f>
        <v>-2728567.0410671858</v>
      </c>
      <c r="BA6" s="34">
        <f>AY6+AZ6</f>
        <v>-2734620.7658617226</v>
      </c>
      <c r="BB6" s="34">
        <f>ABS(AX6)*(AT6-AV6)/2</f>
        <v>-151.83516189960224</v>
      </c>
      <c r="BC6" s="34">
        <f>ABS(AX6)*(AU6-AW6)/2</f>
        <v>-68435.951830552251</v>
      </c>
      <c r="BD6" s="34">
        <f>SUM(BB6:BC6)</f>
        <v>-68587.78699245186</v>
      </c>
      <c r="BE6" s="34">
        <f>IF(AX6&lt;0,((B6+AX6)*(G6-H6))*((L6/100*'Kalkylvärden 1'!B$195)+('Gods UA1'!M6/100*'Gods UA1'!B$168)+('Gods UA1'!N6/100*'Kalkylvärden 1'!B$197)+('Gods UA1'!O6*'Kalkylvärden 1'!B$198)+('Gods UA1'!P6/100*'Kalkylvärden 1'!B$199)+('Gods UA1'!Q6/100*'Kalkylvärden 1'!B$200)+('Gods UA1'!R6*'Kalkylvärden 1'!B$201)+('Gods UA1'!S6/100*'Kalkylvärden 1'!B$202)+('Gods UA1'!T6/100*'Kalkylvärden 1'!B$203)+('Gods UA1'!U6*'Kalkylvärden 1'!B$204)+('Gods UA1'!V6/100*'Kalkylvärden 1'!B$205)+('Gods UA1'!W6/100*'Kalkylvärden 1'!B$206)),(B6*(G6-H6))*((L6/100*'Kalkylvärden 1'!B$195)+('Gods UA1'!M6/100*'Kalkylvärden 1'!B$196)+('Gods UA1'!N6/100*'Kalkylvärden 1'!B$197)+('Gods UA1'!O6*'Kalkylvärden 1'!B$198)+('Gods UA1'!P6/100*'Kalkylvärden 1'!B$199)+('Gods UA1'!Q6/100*'Kalkylvärden 1'!B$200)+('Gods UA1'!R6/100*'Kalkylvärden 1'!B$201)+('Gods UA1'!S6/100*'Kalkylvärden 1'!B$202)+('Gods UA1'!T6/100*'Kalkylvärden 1'!B$203)+('Gods UA1'!U6/100*'Kalkylvärden 1'!B$204)+('Gods UA1'!V6/100*'Kalkylvärden 1'!B$205)+('Gods UA1'!W6/100*'Kalkylvärden 1'!B$206)))</f>
        <v>-14891.313298435516</v>
      </c>
      <c r="BF6" s="34">
        <f>((ABS(AX6/2))*(G6-H6))*((L6/100*'Kalkylvärden 1'!B$195)+('Gods UA1'!M6/100*'Kalkylvärden 1'!B$196)+('Gods UA1'!N6/100*'Kalkylvärden 1'!B$197)+('Gods UA1'!O6/100*'Kalkylvärden 1'!B$198)+('Gods UA1'!P6/100*'Kalkylvärden 1'!B$199)+('Gods UA1'!Q6/100*'Kalkylvärden 1'!B$200)+('Gods UA1'!R6/100*'Kalkylvärden 1'!B$201)+('Gods UA1'!S6/100*'Kalkylvärden 1'!B$202)+('Gods UA1'!T6/100*'Kalkylvärden 1'!B$203)+('Gods UA1'!U6/100*'Kalkylvärden 1'!B$204)+('Gods UA1'!V6/100*'Kalkylvärden 1'!B$205)+('Gods UA1'!W6/100*'Kalkylvärden 1'!B$206))</f>
        <v>-378.85787349243952</v>
      </c>
      <c r="BG6" s="34">
        <f>BA6+BD6+BE6+BF6</f>
        <v>-2818478.7240261021</v>
      </c>
      <c r="BH6" s="34">
        <f>(AX6*E6*'Kalkylvärden 1'!$E$188)</f>
        <v>10297.576753577938</v>
      </c>
      <c r="BI6" s="60">
        <f>AX6*(D6+E6)*'Kalkylvärden 1'!$E$184</f>
        <v>1545.8234012628052</v>
      </c>
      <c r="BJ6" s="60">
        <f>(AX6*(D6+E6)*'Kalkylvärden 1'!$E$186)</f>
        <v>114.43213668367451</v>
      </c>
      <c r="BK6" s="60">
        <f>-AX6/Projektspecifikt!$B$7*(D6+E6)*'Kalkylvärden 1'!$E$180</f>
        <v>-12352.799101138471</v>
      </c>
      <c r="BL6" s="60"/>
    </row>
    <row r="7" spans="1:64" x14ac:dyDescent="0.25">
      <c r="A7" s="58" t="s">
        <v>758</v>
      </c>
      <c r="B7" s="262"/>
      <c r="C7" s="262"/>
      <c r="D7" s="307"/>
      <c r="E7" s="307"/>
      <c r="F7" s="307"/>
      <c r="G7" s="307"/>
      <c r="H7" s="307"/>
      <c r="I7" s="307"/>
      <c r="J7" s="307"/>
      <c r="K7" s="307"/>
      <c r="L7" s="262"/>
      <c r="M7" s="262"/>
      <c r="N7" s="262"/>
      <c r="O7" s="262"/>
      <c r="P7" s="262"/>
      <c r="Q7" s="262"/>
      <c r="R7" s="262"/>
      <c r="S7" s="262"/>
      <c r="T7" s="262"/>
      <c r="U7" s="262"/>
      <c r="V7" s="262"/>
      <c r="W7" s="262"/>
      <c r="X7" s="148" t="str">
        <f t="shared" ref="X7:X35" si="0">IF(SUM(L7:W7)=100,SUM(L7:W7),"FEL")</f>
        <v>FEL</v>
      </c>
      <c r="Y7" s="498">
        <v>20</v>
      </c>
      <c r="Z7" s="498">
        <v>10</v>
      </c>
      <c r="AA7" s="498">
        <v>50</v>
      </c>
      <c r="AB7" s="32" t="e">
        <f>(H7-G7)/(G7+J7+(F7*'Kalkylvärden 1'!$G$9/60))*100</f>
        <v>#DIV/0!</v>
      </c>
      <c r="AC7" s="60" t="e">
        <f t="shared" ref="AC7:AC35" si="1">(I7/100+(AB7/100*(AE7*G7*60)/AH7))*100</f>
        <v>#DIV/0!</v>
      </c>
      <c r="AD7" s="20" t="e">
        <f>('Kalkylvärden 1'!D$97+'Gods UA1'!Y7*('Kalkylvärden 1'!D$98*(1-'Gods UA1'!AA7/100)+'Kalkylvärden 1'!D$99*'Gods UA1'!AA7/100)+'Gods UA1'!Z7*('Kalkylvärden 1'!D$100*(1-'Gods UA1'!AA7/100)+'Kalkylvärden 1'!D$101*'Gods UA1'!AA7/100))*'Gods UA1'!D7/('Gods UA1'!D7+'Gods UA1'!E7)+('Kalkylvärden 1'!E$97+'Gods UA1'!Y7*('Kalkylvärden 1'!E$98*(1-'Gods UA1'!AA7/100)+'Kalkylvärden 1'!E$99*'Gods UA1'!AA7/100)+'Gods UA1'!Z7*('Kalkylvärden 1'!E$100*(1-'Gods UA1'!AA7/100)+'Kalkylvärden 1'!E$101*'Gods UA1'!AA7/100))*'Gods UA1'!E7/('Gods UA1'!D7+'Gods UA1'!E7)</f>
        <v>#DIV/0!</v>
      </c>
      <c r="AE7" s="20">
        <f>'Kalkylvärden 1'!D$103+'Gods UA1'!Y7*'Kalkylvärden 1'!D$104+'Gods UA1'!Z7*'Kalkylvärden 1'!D$105</f>
        <v>54.767843200000002</v>
      </c>
      <c r="AF7" s="34" t="e">
        <f t="shared" ref="AF7:AF35" si="2">AD7*(D7+E7)*2</f>
        <v>#DIV/0!</v>
      </c>
      <c r="AG7" s="34" t="e">
        <f>(AE7*G7*60*2)+(F7*AE7*'Kalkylvärden 1'!$G$9*2)+(J7*'Kalkylvärden 1'!$G$10*'Kalkylvärden 1'!M$100)+('Gods UA1'!B7/'Gods UA1'!C7*'Gods UA1'!K7*'Kalkylvärden 1'!$D$11)</f>
        <v>#DIV/0!</v>
      </c>
      <c r="AH7" s="34" t="e">
        <f t="shared" ref="AH7:AH35" si="3">AF7+AG7</f>
        <v>#DIV/0!</v>
      </c>
      <c r="AI7" s="34" t="e">
        <f t="shared" ref="AI7:AI35" si="4">AH7*C7</f>
        <v>#DIV/0!</v>
      </c>
      <c r="AJ7" s="20" t="e">
        <f>('Kalkylvärden 1'!D$97+'Gods UA1'!Y7*('Kalkylvärden 1'!D$98*(1-'Gods UA1'!AA7/100)+'Kalkylvärden 1'!D$99*'Gods UA1'!AA7/100)+'Gods UA1'!Z7*('Kalkylvärden 1'!D$100*(1-'Gods UA1'!AA7/100)+'Kalkylvärden 1'!D$101*'Gods UA1'!AA7/100))*'Gods UA1'!D7/('Gods UA1'!D7+'Gods UA1'!E7)+('Kalkylvärden 1'!E$97+'Gods UA1'!Y7*('Kalkylvärden 1'!E$98*(1-'Gods UA1'!AA7/100)+'Kalkylvärden 1'!E$99*'Gods UA1'!AA7/100)+'Gods UA1'!Z7*('Kalkylvärden 1'!E$100*(1-'Gods UA1'!AA7/100)+'Kalkylvärden 1'!E$101*'Gods UA1'!AA7/100))*'Gods UA1'!E7/('Gods UA1'!D7+'Gods UA1'!E7)</f>
        <v>#DIV/0!</v>
      </c>
      <c r="AK7" s="20">
        <f>'Kalkylvärden 1'!D$103+'Gods UA1'!Y7*'Kalkylvärden 1'!D$104+'Gods UA1'!Z7*'Kalkylvärden 1'!D$105</f>
        <v>54.767843200000002</v>
      </c>
      <c r="AL7" s="34" t="e">
        <f t="shared" ref="AL7:AL35" si="5">AJ7*(D7+E7)*2</f>
        <v>#DIV/0!</v>
      </c>
      <c r="AM7" s="34" t="e">
        <f>(AK7*H7*60*2)+(AK7*F7*'Kalkylvärden 1'!$G$9*2)+(J7*'Kalkylvärden 1'!$G$10*'Kalkylvärden 1'!M$100)+(B7/C7*K7*'Kalkylvärden 1'!$D$11)</f>
        <v>#DIV/0!</v>
      </c>
      <c r="AN7" s="34" t="e">
        <f t="shared" ref="AN7:AN35" si="6">AL7+(AL7+AM7)*(AC7/100)*AL7/(AL7+AM7)</f>
        <v>#DIV/0!</v>
      </c>
      <c r="AO7" s="34" t="e">
        <f t="shared" ref="AO7:AO35" si="7">AM7+(AL7+AM7)*AC7/100*AM7/(AL7+AM7)</f>
        <v>#DIV/0!</v>
      </c>
      <c r="AP7" s="34" t="e">
        <f t="shared" ref="AP7:AP35" si="8">AN7+AO7</f>
        <v>#DIV/0!</v>
      </c>
      <c r="AQ7" s="34" t="e">
        <f t="shared" ref="AQ7:AQ35" si="9">AP7*C7</f>
        <v>#DIV/0!</v>
      </c>
      <c r="AR7" s="34" t="e">
        <f t="shared" ref="AR7:AR35" si="10">AI7-AQ7</f>
        <v>#DIV/0!</v>
      </c>
      <c r="AS7" s="34" t="s">
        <v>328</v>
      </c>
      <c r="AT7" s="34" t="e">
        <f t="shared" ref="AT7:AT35" si="11">(AF7*C7)/(B7*(D7+E7)*2)</f>
        <v>#DIV/0!</v>
      </c>
      <c r="AU7" s="34" t="e">
        <f>(AG7*C7)/((B7*(G7+J7))+(B7*'Kalkylvärden 1'!$G$9/60*F7))</f>
        <v>#DIV/0!</v>
      </c>
      <c r="AV7" s="34" t="e">
        <f t="shared" ref="AV7:AV35" si="12">(AN7*C7)/((D7+E7)*2*B7)</f>
        <v>#DIV/0!</v>
      </c>
      <c r="AW7" s="34" t="e">
        <f>(AO7*C7)/((B7*(G7+J7))+(B7*'Kalkylvärden 1'!$G$9/60*F7))</f>
        <v>#DIV/0!</v>
      </c>
      <c r="AX7" s="34" t="e">
        <f>-AC7/100*'Kalkylvärden 1'!$B$23*'Gods UA1'!B7</f>
        <v>#DIV/0!</v>
      </c>
      <c r="AY7" s="34" t="e">
        <f t="shared" ref="AY7:AY35" si="13">IF(AX7&lt;0,((B7+AX7)*(AT7-AV7)),B7*(AT7-AV7))</f>
        <v>#DIV/0!</v>
      </c>
      <c r="AZ7" s="34" t="e">
        <f t="shared" ref="AZ7:AZ35" si="14">IF(AX7&lt;0,(B7+AX7)*(AU7-AW7),B7*(AU7-AW7))</f>
        <v>#DIV/0!</v>
      </c>
      <c r="BA7" s="34" t="e">
        <f t="shared" ref="BA7:BA35" si="15">AY7+AZ7</f>
        <v>#DIV/0!</v>
      </c>
      <c r="BB7" s="34" t="e">
        <f t="shared" ref="BB7:BB35" si="16">ABS(AX7)*(AT7-AV7)/2</f>
        <v>#DIV/0!</v>
      </c>
      <c r="BC7" s="34" t="e">
        <f t="shared" ref="BC7:BC35" si="17">ABS(AX7)*(AU7-AW7)/2</f>
        <v>#DIV/0!</v>
      </c>
      <c r="BD7" s="34" t="e">
        <f t="shared" ref="BD7:BD35" si="18">SUM(BB7:BC7)</f>
        <v>#DIV/0!</v>
      </c>
      <c r="BE7" s="34" t="e">
        <f>IF(AX7&lt;0,((B7+AX7)*(G7-H7))*((L7/100*'Kalkylvärden 1'!B$195)+('Gods UA1'!M7/100*'Gods UA1'!B$168)+('Gods UA1'!N7/100*'Kalkylvärden 1'!B$197)+('Gods UA1'!O7*'Kalkylvärden 1'!B$198)+('Gods UA1'!P7/100*'Kalkylvärden 1'!B$199)+('Gods UA1'!Q7/100*'Kalkylvärden 1'!B$200)+('Gods UA1'!R7*'Kalkylvärden 1'!B$201)+('Gods UA1'!S7/100*'Kalkylvärden 1'!B$202)+('Gods UA1'!T7/100*'Kalkylvärden 1'!B$203)+('Gods UA1'!U7*'Kalkylvärden 1'!B$204)+('Gods UA1'!V7/100*'Kalkylvärden 1'!B$205)+('Gods UA1'!W7/100*'Kalkylvärden 1'!B$206)),(B7*(G7-H7))*((L7/100*'Kalkylvärden 1'!B$195)+('Gods UA1'!M7/100*'Kalkylvärden 1'!B$196)+('Gods UA1'!N7/100*'Kalkylvärden 1'!B$197)+('Gods UA1'!O7*'Kalkylvärden 1'!B$198)+('Gods UA1'!P7/100*'Kalkylvärden 1'!B$199)+('Gods UA1'!Q7/100*'Kalkylvärden 1'!B$200)+('Gods UA1'!R7/100*'Kalkylvärden 1'!B$201)+('Gods UA1'!S7/100*'Kalkylvärden 1'!B$202)+('Gods UA1'!T7/100*'Kalkylvärden 1'!B$203)+('Gods UA1'!U7/100*'Kalkylvärden 1'!B$204)+('Gods UA1'!V7/100*'Kalkylvärden 1'!B$205)+('Gods UA1'!W7/100*'Kalkylvärden 1'!B$206)))</f>
        <v>#DIV/0!</v>
      </c>
      <c r="BF7" s="34" t="e">
        <f>((ABS(AX7/2))*(G7-H7))*((L7/100*'Kalkylvärden 1'!B$195)+('Gods UA1'!M7/100*'Kalkylvärden 1'!B$196)+('Gods UA1'!N7/100*'Kalkylvärden 1'!B$197)+('Gods UA1'!O7/100*'Kalkylvärden 1'!B$198)+('Gods UA1'!P7/100*'Kalkylvärden 1'!B$199)+('Gods UA1'!Q7/100*'Kalkylvärden 1'!B$200)+('Gods UA1'!R7/100*'Kalkylvärden 1'!B$201)+('Gods UA1'!S7/100*'Kalkylvärden 1'!B$202)+('Gods UA1'!T7/100*'Kalkylvärden 1'!B$203)+('Gods UA1'!U7/100*'Kalkylvärden 1'!B$204)+('Gods UA1'!V7/100*'Kalkylvärden 1'!B$205)+('Gods UA1'!W7/100*'Kalkylvärden 1'!B$206))</f>
        <v>#DIV/0!</v>
      </c>
      <c r="BG7" s="34" t="e">
        <f t="shared" ref="BG7:BG35" si="19">BA7+BD7+BE7+BF7</f>
        <v>#DIV/0!</v>
      </c>
      <c r="BH7" s="34" t="e">
        <f>(AX7*E7*'Kalkylvärden 1'!$E$188)</f>
        <v>#DIV/0!</v>
      </c>
      <c r="BI7" s="60" t="e">
        <f>AX7*(D7+E7)*'Kalkylvärden 1'!$E$184</f>
        <v>#DIV/0!</v>
      </c>
      <c r="BJ7" s="60" t="e">
        <f>(AX7*(D7+E7)*'Kalkylvärden 1'!$E$186)</f>
        <v>#DIV/0!</v>
      </c>
      <c r="BK7" s="60" t="e">
        <f>-AX7/Projektspecifikt!$B$7*(D7+E7)*'Kalkylvärden 1'!$E$180</f>
        <v>#DIV/0!</v>
      </c>
      <c r="BL7" s="60"/>
    </row>
    <row r="8" spans="1:64" x14ac:dyDescent="0.25">
      <c r="A8" s="58" t="s">
        <v>759</v>
      </c>
      <c r="B8" s="262"/>
      <c r="C8" s="262"/>
      <c r="D8" s="307"/>
      <c r="E8" s="307"/>
      <c r="F8" s="307"/>
      <c r="G8" s="307"/>
      <c r="H8" s="307"/>
      <c r="I8" s="307"/>
      <c r="J8" s="307"/>
      <c r="K8" s="307"/>
      <c r="L8" s="262"/>
      <c r="M8" s="262"/>
      <c r="N8" s="262"/>
      <c r="O8" s="262"/>
      <c r="P8" s="262"/>
      <c r="Q8" s="262"/>
      <c r="R8" s="262"/>
      <c r="S8" s="262"/>
      <c r="T8" s="262"/>
      <c r="U8" s="262"/>
      <c r="V8" s="262"/>
      <c r="W8" s="262"/>
      <c r="X8" s="148" t="str">
        <f t="shared" si="0"/>
        <v>FEL</v>
      </c>
      <c r="Y8" s="498">
        <v>20</v>
      </c>
      <c r="Z8" s="498">
        <v>10</v>
      </c>
      <c r="AA8" s="498">
        <v>50</v>
      </c>
      <c r="AB8" s="32" t="e">
        <f>(H8-G8)/(G8+J8+(F8*'Kalkylvärden 1'!$G$9/60))*100</f>
        <v>#DIV/0!</v>
      </c>
      <c r="AC8" s="60" t="e">
        <f t="shared" si="1"/>
        <v>#DIV/0!</v>
      </c>
      <c r="AD8" s="20" t="e">
        <f>('Kalkylvärden 1'!D$97+'Gods UA1'!Y8*('Kalkylvärden 1'!D$98*(1-'Gods UA1'!AA8/100)+'Kalkylvärden 1'!D$99*'Gods UA1'!AA8/100)+'Gods UA1'!Z8*('Kalkylvärden 1'!D$100*(1-'Gods UA1'!AA8/100)+'Kalkylvärden 1'!D$101*'Gods UA1'!AA8/100))*'Gods UA1'!D8/('Gods UA1'!D8+'Gods UA1'!E8)+('Kalkylvärden 1'!E$97+'Gods UA1'!Y8*('Kalkylvärden 1'!E$98*(1-'Gods UA1'!AA8/100)+'Kalkylvärden 1'!E$99*'Gods UA1'!AA8/100)+'Gods UA1'!Z8*('Kalkylvärden 1'!E$100*(1-'Gods UA1'!AA8/100)+'Kalkylvärden 1'!E$101*'Gods UA1'!AA8/100))*'Gods UA1'!E8/('Gods UA1'!D8+'Gods UA1'!E8)</f>
        <v>#DIV/0!</v>
      </c>
      <c r="AE8" s="20">
        <f>'Kalkylvärden 1'!D$103+'Gods UA1'!Y8*'Kalkylvärden 1'!D$104+'Gods UA1'!Z8*'Kalkylvärden 1'!D$105</f>
        <v>54.767843200000002</v>
      </c>
      <c r="AF8" s="34" t="e">
        <f t="shared" si="2"/>
        <v>#DIV/0!</v>
      </c>
      <c r="AG8" s="34" t="e">
        <f>(AE8*G8*60*2)+(F8*AE8*'Kalkylvärden 1'!$G$9*2)+(J8*'Kalkylvärden 1'!$G$10*'Kalkylvärden 1'!M$100)+('Gods UA1'!B8/'Gods UA1'!C8*'Gods UA1'!K8*'Kalkylvärden 1'!$D$11)</f>
        <v>#DIV/0!</v>
      </c>
      <c r="AH8" s="34" t="e">
        <f t="shared" si="3"/>
        <v>#DIV/0!</v>
      </c>
      <c r="AI8" s="34" t="e">
        <f t="shared" si="4"/>
        <v>#DIV/0!</v>
      </c>
      <c r="AJ8" s="20" t="e">
        <f>('Kalkylvärden 1'!D$97+'Gods UA1'!Y8*('Kalkylvärden 1'!D$98*(1-'Gods UA1'!AA8/100)+'Kalkylvärden 1'!D$99*'Gods UA1'!AA8/100)+'Gods UA1'!Z8*('Kalkylvärden 1'!D$100*(1-'Gods UA1'!AA8/100)+'Kalkylvärden 1'!D$101*'Gods UA1'!AA8/100))*'Gods UA1'!D8/('Gods UA1'!D8+'Gods UA1'!E8)+('Kalkylvärden 1'!E$97+'Gods UA1'!Y8*('Kalkylvärden 1'!E$98*(1-'Gods UA1'!AA8/100)+'Kalkylvärden 1'!E$99*'Gods UA1'!AA8/100)+'Gods UA1'!Z8*('Kalkylvärden 1'!E$100*(1-'Gods UA1'!AA8/100)+'Kalkylvärden 1'!E$101*'Gods UA1'!AA8/100))*'Gods UA1'!E8/('Gods UA1'!D8+'Gods UA1'!E8)</f>
        <v>#DIV/0!</v>
      </c>
      <c r="AK8" s="20">
        <f>'Kalkylvärden 1'!D$103+'Gods UA1'!Y8*'Kalkylvärden 1'!D$104+'Gods UA1'!Z8*'Kalkylvärden 1'!D$105</f>
        <v>54.767843200000002</v>
      </c>
      <c r="AL8" s="34" t="e">
        <f t="shared" si="5"/>
        <v>#DIV/0!</v>
      </c>
      <c r="AM8" s="34" t="e">
        <f>(AK8*H8*60*2)+(AK8*F8*'Kalkylvärden 1'!$G$9*2)+(J8*'Kalkylvärden 1'!$G$10*'Kalkylvärden 1'!M$100)+(B8/C8*K8*'Kalkylvärden 1'!$D$11)</f>
        <v>#DIV/0!</v>
      </c>
      <c r="AN8" s="34" t="e">
        <f t="shared" si="6"/>
        <v>#DIV/0!</v>
      </c>
      <c r="AO8" s="34" t="e">
        <f t="shared" si="7"/>
        <v>#DIV/0!</v>
      </c>
      <c r="AP8" s="34" t="e">
        <f t="shared" si="8"/>
        <v>#DIV/0!</v>
      </c>
      <c r="AQ8" s="34" t="e">
        <f t="shared" si="9"/>
        <v>#DIV/0!</v>
      </c>
      <c r="AR8" s="34" t="e">
        <f t="shared" si="10"/>
        <v>#DIV/0!</v>
      </c>
      <c r="AS8" s="34" t="s">
        <v>328</v>
      </c>
      <c r="AT8" s="34" t="e">
        <f t="shared" si="11"/>
        <v>#DIV/0!</v>
      </c>
      <c r="AU8" s="34" t="e">
        <f>(AG8*C8)/((B8*(G8+J8))+(B8*'Kalkylvärden 1'!$G$9/60*F8))</f>
        <v>#DIV/0!</v>
      </c>
      <c r="AV8" s="34" t="e">
        <f t="shared" si="12"/>
        <v>#DIV/0!</v>
      </c>
      <c r="AW8" s="34" t="e">
        <f>(AO8*C8)/((B8*(G8+J8))+(B8*'Kalkylvärden 1'!$G$9/60*F8))</f>
        <v>#DIV/0!</v>
      </c>
      <c r="AX8" s="34" t="e">
        <f>-AC8/100*'Kalkylvärden 1'!$B$23*'Gods UA1'!B8</f>
        <v>#DIV/0!</v>
      </c>
      <c r="AY8" s="34" t="e">
        <f t="shared" si="13"/>
        <v>#DIV/0!</v>
      </c>
      <c r="AZ8" s="34" t="e">
        <f t="shared" si="14"/>
        <v>#DIV/0!</v>
      </c>
      <c r="BA8" s="34" t="e">
        <f t="shared" si="15"/>
        <v>#DIV/0!</v>
      </c>
      <c r="BB8" s="34" t="e">
        <f t="shared" si="16"/>
        <v>#DIV/0!</v>
      </c>
      <c r="BC8" s="34" t="e">
        <f t="shared" si="17"/>
        <v>#DIV/0!</v>
      </c>
      <c r="BD8" s="34" t="e">
        <f t="shared" si="18"/>
        <v>#DIV/0!</v>
      </c>
      <c r="BE8" s="34" t="e">
        <f>IF(AX8&lt;0,((B8+AX8)*(G8-H8))*((L8/100*'Kalkylvärden 1'!B$195)+('Gods UA1'!M8/100*'Gods UA1'!B$168)+('Gods UA1'!N8/100*'Kalkylvärden 1'!B$197)+('Gods UA1'!O8*'Kalkylvärden 1'!B$198)+('Gods UA1'!P8/100*'Kalkylvärden 1'!B$199)+('Gods UA1'!Q8/100*'Kalkylvärden 1'!B$200)+('Gods UA1'!R8*'Kalkylvärden 1'!B$201)+('Gods UA1'!S8/100*'Kalkylvärden 1'!B$202)+('Gods UA1'!T8/100*'Kalkylvärden 1'!B$203)+('Gods UA1'!U8*'Kalkylvärden 1'!B$204)+('Gods UA1'!V8/100*'Kalkylvärden 1'!B$205)+('Gods UA1'!W8/100*'Kalkylvärden 1'!B$206)),(B8*(G8-H8))*((L8/100*'Kalkylvärden 1'!B$195)+('Gods UA1'!M8/100*'Kalkylvärden 1'!B$196)+('Gods UA1'!N8/100*'Kalkylvärden 1'!B$197)+('Gods UA1'!O8*'Kalkylvärden 1'!B$198)+('Gods UA1'!P8/100*'Kalkylvärden 1'!B$199)+('Gods UA1'!Q8/100*'Kalkylvärden 1'!B$200)+('Gods UA1'!R8/100*'Kalkylvärden 1'!B$201)+('Gods UA1'!S8/100*'Kalkylvärden 1'!B$202)+('Gods UA1'!T8/100*'Kalkylvärden 1'!B$203)+('Gods UA1'!U8/100*'Kalkylvärden 1'!B$204)+('Gods UA1'!V8/100*'Kalkylvärden 1'!B$205)+('Gods UA1'!W8/100*'Kalkylvärden 1'!B$206)))</f>
        <v>#DIV/0!</v>
      </c>
      <c r="BF8" s="34" t="e">
        <f>((ABS(AX8/2))*(G8-H8))*((L8/100*'Kalkylvärden 1'!B$195)+('Gods UA1'!M8/100*'Kalkylvärden 1'!B$196)+('Gods UA1'!N8/100*'Kalkylvärden 1'!B$197)+('Gods UA1'!O8/100*'Kalkylvärden 1'!B$198)+('Gods UA1'!P8/100*'Kalkylvärden 1'!B$199)+('Gods UA1'!Q8/100*'Kalkylvärden 1'!B$200)+('Gods UA1'!R8/100*'Kalkylvärden 1'!B$201)+('Gods UA1'!S8/100*'Kalkylvärden 1'!B$202)+('Gods UA1'!T8/100*'Kalkylvärden 1'!B$203)+('Gods UA1'!U8/100*'Kalkylvärden 1'!B$204)+('Gods UA1'!V8/100*'Kalkylvärden 1'!B$205)+('Gods UA1'!W8/100*'Kalkylvärden 1'!B$206))</f>
        <v>#DIV/0!</v>
      </c>
      <c r="BG8" s="34" t="e">
        <f t="shared" si="19"/>
        <v>#DIV/0!</v>
      </c>
      <c r="BH8" s="34" t="e">
        <f>(AX8*E8*'Kalkylvärden 1'!$E$188)</f>
        <v>#DIV/0!</v>
      </c>
      <c r="BI8" s="60" t="e">
        <f>AX8*(D8+E8)*'Kalkylvärden 1'!$E$184</f>
        <v>#DIV/0!</v>
      </c>
      <c r="BJ8" s="60" t="e">
        <f>(AX8*(D8+E8)*'Kalkylvärden 1'!$E$186)</f>
        <v>#DIV/0!</v>
      </c>
      <c r="BK8" s="60" t="e">
        <f>-AX8/Projektspecifikt!$B$7*(D8+E8)*'Kalkylvärden 1'!$E$180</f>
        <v>#DIV/0!</v>
      </c>
      <c r="BL8" s="60"/>
    </row>
    <row r="9" spans="1:64" x14ac:dyDescent="0.25">
      <c r="A9" s="58" t="s">
        <v>617</v>
      </c>
      <c r="B9" s="262"/>
      <c r="C9" s="262"/>
      <c r="D9" s="307"/>
      <c r="E9" s="307"/>
      <c r="F9" s="307"/>
      <c r="G9" s="307"/>
      <c r="H9" s="307"/>
      <c r="I9" s="307"/>
      <c r="J9" s="307"/>
      <c r="K9" s="307"/>
      <c r="L9" s="262"/>
      <c r="M9" s="262"/>
      <c r="N9" s="262"/>
      <c r="O9" s="262"/>
      <c r="P9" s="262"/>
      <c r="Q9" s="262"/>
      <c r="R9" s="262"/>
      <c r="S9" s="262"/>
      <c r="T9" s="262"/>
      <c r="U9" s="262"/>
      <c r="V9" s="262"/>
      <c r="W9" s="262"/>
      <c r="X9" s="148" t="str">
        <f t="shared" si="0"/>
        <v>FEL</v>
      </c>
      <c r="Y9" s="261">
        <v>20</v>
      </c>
      <c r="Z9" s="261">
        <v>10</v>
      </c>
      <c r="AA9" s="261">
        <v>50</v>
      </c>
      <c r="AB9" s="32" t="e">
        <f>(H9-G9)/(G9+J9+(F9*'Kalkylvärden 1'!$G$9/60))*100</f>
        <v>#DIV/0!</v>
      </c>
      <c r="AC9" s="60" t="e">
        <f t="shared" si="1"/>
        <v>#DIV/0!</v>
      </c>
      <c r="AD9" s="20" t="e">
        <f>('Kalkylvärden 1'!D$97+'Gods UA1'!Y9*('Kalkylvärden 1'!D$98*(1-'Gods UA1'!AA9/100)+'Kalkylvärden 1'!D$99*'Gods UA1'!AA9/100)+'Gods UA1'!Z9*('Kalkylvärden 1'!D$100*(1-'Gods UA1'!AA9/100)+'Kalkylvärden 1'!D$101*'Gods UA1'!AA9/100))*'Gods UA1'!D9/('Gods UA1'!D9+'Gods UA1'!E9)+('Kalkylvärden 1'!E$97+'Gods UA1'!Y9*('Kalkylvärden 1'!E$98*(1-'Gods UA1'!AA9/100)+'Kalkylvärden 1'!E$99*'Gods UA1'!AA9/100)+'Gods UA1'!Z9*('Kalkylvärden 1'!E$100*(1-'Gods UA1'!AA9/100)+'Kalkylvärden 1'!E$101*'Gods UA1'!AA9/100))*'Gods UA1'!E9/('Gods UA1'!D9+'Gods UA1'!E9)</f>
        <v>#DIV/0!</v>
      </c>
      <c r="AE9" s="20">
        <f>'Kalkylvärden 1'!D$103+'Gods UA1'!Y9*'Kalkylvärden 1'!D$104+'Gods UA1'!Z9*'Kalkylvärden 1'!D$105</f>
        <v>54.767843200000002</v>
      </c>
      <c r="AF9" s="34" t="e">
        <f t="shared" si="2"/>
        <v>#DIV/0!</v>
      </c>
      <c r="AG9" s="34" t="e">
        <f>(AE9*G9*60*2)+(F9*AE9*'Kalkylvärden 1'!$G$9*2)+(J9*'Kalkylvärden 1'!$G$10*'Kalkylvärden 1'!M$100)+('Gods UA1'!B9/'Gods UA1'!C9*'Gods UA1'!K9*'Kalkylvärden 1'!$D$11)</f>
        <v>#DIV/0!</v>
      </c>
      <c r="AH9" s="34" t="e">
        <f t="shared" si="3"/>
        <v>#DIV/0!</v>
      </c>
      <c r="AI9" s="34" t="e">
        <f t="shared" si="4"/>
        <v>#DIV/0!</v>
      </c>
      <c r="AJ9" s="20" t="e">
        <f>('Kalkylvärden 1'!D$97+'Gods UA1'!Y9*('Kalkylvärden 1'!D$98*(1-'Gods UA1'!AA9/100)+'Kalkylvärden 1'!D$99*'Gods UA1'!AA9/100)+'Gods UA1'!Z9*('Kalkylvärden 1'!D$100*(1-'Gods UA1'!AA9/100)+'Kalkylvärden 1'!D$101*'Gods UA1'!AA9/100))*'Gods UA1'!D9/('Gods UA1'!D9+'Gods UA1'!E9)+('Kalkylvärden 1'!E$97+'Gods UA1'!Y9*('Kalkylvärden 1'!E$98*(1-'Gods UA1'!AA9/100)+'Kalkylvärden 1'!E$99*'Gods UA1'!AA9/100)+'Gods UA1'!Z9*('Kalkylvärden 1'!E$100*(1-'Gods UA1'!AA9/100)+'Kalkylvärden 1'!E$101*'Gods UA1'!AA9/100))*'Gods UA1'!E9/('Gods UA1'!D9+'Gods UA1'!E9)</f>
        <v>#DIV/0!</v>
      </c>
      <c r="AK9" s="20">
        <f>'Kalkylvärden 1'!D$103+'Gods UA1'!Y9*'Kalkylvärden 1'!D$104+'Gods UA1'!Z9*'Kalkylvärden 1'!D$105</f>
        <v>54.767843200000002</v>
      </c>
      <c r="AL9" s="34" t="e">
        <f t="shared" si="5"/>
        <v>#DIV/0!</v>
      </c>
      <c r="AM9" s="34" t="e">
        <f>(AK9*H9*60*2)+(AK9*F9*'Kalkylvärden 1'!$G$9*2)+(J9*'Kalkylvärden 1'!$G$10*'Kalkylvärden 1'!M$100)+(B9/C9*K9*'Kalkylvärden 1'!$D$11)</f>
        <v>#DIV/0!</v>
      </c>
      <c r="AN9" s="34" t="e">
        <f t="shared" si="6"/>
        <v>#DIV/0!</v>
      </c>
      <c r="AO9" s="34" t="e">
        <f t="shared" si="7"/>
        <v>#DIV/0!</v>
      </c>
      <c r="AP9" s="34" t="e">
        <f t="shared" si="8"/>
        <v>#DIV/0!</v>
      </c>
      <c r="AQ9" s="34" t="e">
        <f t="shared" si="9"/>
        <v>#DIV/0!</v>
      </c>
      <c r="AR9" s="34" t="e">
        <f t="shared" si="10"/>
        <v>#DIV/0!</v>
      </c>
      <c r="AS9" s="34" t="s">
        <v>328</v>
      </c>
      <c r="AT9" s="34" t="e">
        <f t="shared" si="11"/>
        <v>#DIV/0!</v>
      </c>
      <c r="AU9" s="34" t="e">
        <f>(AG9*C9)/((B9*(G9+J9))+(B9*'Kalkylvärden 1'!$G$9/60*F9))</f>
        <v>#DIV/0!</v>
      </c>
      <c r="AV9" s="34" t="e">
        <f t="shared" si="12"/>
        <v>#DIV/0!</v>
      </c>
      <c r="AW9" s="34" t="e">
        <f>(AO9*C9)/((B9*(G9+J9))+(B9*'Kalkylvärden 1'!$G$9/60*F9))</f>
        <v>#DIV/0!</v>
      </c>
      <c r="AX9" s="34" t="e">
        <f>-AC9/100*'Kalkylvärden 1'!$B$23*'Gods UA1'!B9</f>
        <v>#DIV/0!</v>
      </c>
      <c r="AY9" s="34" t="e">
        <f t="shared" si="13"/>
        <v>#DIV/0!</v>
      </c>
      <c r="AZ9" s="34" t="e">
        <f t="shared" si="14"/>
        <v>#DIV/0!</v>
      </c>
      <c r="BA9" s="34" t="e">
        <f t="shared" si="15"/>
        <v>#DIV/0!</v>
      </c>
      <c r="BB9" s="34" t="e">
        <f t="shared" si="16"/>
        <v>#DIV/0!</v>
      </c>
      <c r="BC9" s="34" t="e">
        <f t="shared" si="17"/>
        <v>#DIV/0!</v>
      </c>
      <c r="BD9" s="34" t="e">
        <f t="shared" si="18"/>
        <v>#DIV/0!</v>
      </c>
      <c r="BE9" s="34" t="e">
        <f>IF(AX9&lt;0,((B9+AX9)*(G9-H9))*((L9/100*'Kalkylvärden 1'!B$195)+('Gods UA1'!M9/100*'Gods UA1'!B$168)+('Gods UA1'!N9/100*'Kalkylvärden 1'!B$197)+('Gods UA1'!O9*'Kalkylvärden 1'!B$198)+('Gods UA1'!P9/100*'Kalkylvärden 1'!B$199)+('Gods UA1'!Q9/100*'Kalkylvärden 1'!B$200)+('Gods UA1'!R9*'Kalkylvärden 1'!B$201)+('Gods UA1'!S9/100*'Kalkylvärden 1'!B$202)+('Gods UA1'!T9/100*'Kalkylvärden 1'!B$203)+('Gods UA1'!U9*'Kalkylvärden 1'!B$204)+('Gods UA1'!V9/100*'Kalkylvärden 1'!B$205)+('Gods UA1'!W9/100*'Kalkylvärden 1'!B$206)),(B9*(G9-H9))*((L9/100*'Kalkylvärden 1'!B$195)+('Gods UA1'!M9/100*'Kalkylvärden 1'!B$196)+('Gods UA1'!N9/100*'Kalkylvärden 1'!B$197)+('Gods UA1'!O9*'Kalkylvärden 1'!B$198)+('Gods UA1'!P9/100*'Kalkylvärden 1'!B$199)+('Gods UA1'!Q9/100*'Kalkylvärden 1'!B$200)+('Gods UA1'!R9/100*'Kalkylvärden 1'!B$201)+('Gods UA1'!S9/100*'Kalkylvärden 1'!B$202)+('Gods UA1'!T9/100*'Kalkylvärden 1'!B$203)+('Gods UA1'!U9/100*'Kalkylvärden 1'!B$204)+('Gods UA1'!V9/100*'Kalkylvärden 1'!B$205)+('Gods UA1'!W9/100*'Kalkylvärden 1'!B$206)))</f>
        <v>#DIV/0!</v>
      </c>
      <c r="BF9" s="34" t="e">
        <f>((ABS(AX9/2))*(G9-H9))*((L9/100*'Kalkylvärden 1'!B$195)+('Gods UA1'!M9/100*'Kalkylvärden 1'!B$196)+('Gods UA1'!N9/100*'Kalkylvärden 1'!B$197)+('Gods UA1'!O9/100*'Kalkylvärden 1'!B$198)+('Gods UA1'!P9/100*'Kalkylvärden 1'!B$199)+('Gods UA1'!Q9/100*'Kalkylvärden 1'!B$200)+('Gods UA1'!R9/100*'Kalkylvärden 1'!B$201)+('Gods UA1'!S9/100*'Kalkylvärden 1'!B$202)+('Gods UA1'!T9/100*'Kalkylvärden 1'!B$203)+('Gods UA1'!U9/100*'Kalkylvärden 1'!B$204)+('Gods UA1'!V9/100*'Kalkylvärden 1'!B$205)+('Gods UA1'!W9/100*'Kalkylvärden 1'!B$206))</f>
        <v>#DIV/0!</v>
      </c>
      <c r="BG9" s="34" t="e">
        <f t="shared" si="19"/>
        <v>#DIV/0!</v>
      </c>
      <c r="BH9" s="34" t="e">
        <f>(AX9*E9*'Kalkylvärden 1'!$E$188)</f>
        <v>#DIV/0!</v>
      </c>
      <c r="BI9" s="60" t="e">
        <f>AX9*(D9+E9)*'Kalkylvärden 1'!$E$184</f>
        <v>#DIV/0!</v>
      </c>
      <c r="BJ9" s="60" t="e">
        <f>(AX9*(D9+E9)*'Kalkylvärden 1'!$E$186)</f>
        <v>#DIV/0!</v>
      </c>
      <c r="BK9" s="60" t="e">
        <f>-AX9/Projektspecifikt!$B$7*(D9+E9)*'Kalkylvärden 1'!$E$180</f>
        <v>#DIV/0!</v>
      </c>
      <c r="BL9" s="60"/>
    </row>
    <row r="10" spans="1:64" x14ac:dyDescent="0.25">
      <c r="A10" s="58" t="s">
        <v>617</v>
      </c>
      <c r="B10" s="262"/>
      <c r="C10" s="262"/>
      <c r="D10" s="307"/>
      <c r="E10" s="307"/>
      <c r="F10" s="307"/>
      <c r="G10" s="307"/>
      <c r="H10" s="307"/>
      <c r="I10" s="307"/>
      <c r="J10" s="307"/>
      <c r="K10" s="307"/>
      <c r="L10" s="262"/>
      <c r="M10" s="262"/>
      <c r="N10" s="262"/>
      <c r="O10" s="262"/>
      <c r="P10" s="262"/>
      <c r="Q10" s="262"/>
      <c r="R10" s="262"/>
      <c r="S10" s="262"/>
      <c r="T10" s="262"/>
      <c r="U10" s="262"/>
      <c r="V10" s="262"/>
      <c r="W10" s="262"/>
      <c r="X10" s="148" t="str">
        <f t="shared" si="0"/>
        <v>FEL</v>
      </c>
      <c r="Y10" s="261">
        <v>20</v>
      </c>
      <c r="Z10" s="261">
        <v>10</v>
      </c>
      <c r="AA10" s="261">
        <v>50</v>
      </c>
      <c r="AB10" s="32" t="e">
        <f>(H10-G10)/(G10+J10+(F10*'Kalkylvärden 1'!$G$9/60))*100</f>
        <v>#DIV/0!</v>
      </c>
      <c r="AC10" s="60" t="e">
        <f t="shared" si="1"/>
        <v>#DIV/0!</v>
      </c>
      <c r="AD10" s="20" t="e">
        <f>('Kalkylvärden 1'!D$97+'Gods UA1'!Y10*('Kalkylvärden 1'!D$98*(1-'Gods UA1'!AA10/100)+'Kalkylvärden 1'!D$99*'Gods UA1'!AA10/100)+'Gods UA1'!Z10*('Kalkylvärden 1'!D$100*(1-'Gods UA1'!AA10/100)+'Kalkylvärden 1'!D$101*'Gods UA1'!AA10/100))*'Gods UA1'!D10/('Gods UA1'!D10+'Gods UA1'!E10)+('Kalkylvärden 1'!E$97+'Gods UA1'!Y10*('Kalkylvärden 1'!E$98*(1-'Gods UA1'!AA10/100)+'Kalkylvärden 1'!E$99*'Gods UA1'!AA10/100)+'Gods UA1'!Z10*('Kalkylvärden 1'!E$100*(1-'Gods UA1'!AA10/100)+'Kalkylvärden 1'!E$101*'Gods UA1'!AA10/100))*'Gods UA1'!E10/('Gods UA1'!D10+'Gods UA1'!E10)</f>
        <v>#DIV/0!</v>
      </c>
      <c r="AE10" s="20">
        <f>'Kalkylvärden 1'!D$103+'Gods UA1'!Y10*'Kalkylvärden 1'!D$104+'Gods UA1'!Z10*'Kalkylvärden 1'!D$105</f>
        <v>54.767843200000002</v>
      </c>
      <c r="AF10" s="34" t="e">
        <f t="shared" si="2"/>
        <v>#DIV/0!</v>
      </c>
      <c r="AG10" s="34" t="e">
        <f>(AE10*G10*60*2)+(F10*AE10*'Kalkylvärden 1'!$G$9*2)+(J10*'Kalkylvärden 1'!$G$10*'Kalkylvärden 1'!M$100)+('Gods UA1'!B10/'Gods UA1'!C10*'Gods UA1'!K10*'Kalkylvärden 1'!$D$11)</f>
        <v>#DIV/0!</v>
      </c>
      <c r="AH10" s="34" t="e">
        <f t="shared" si="3"/>
        <v>#DIV/0!</v>
      </c>
      <c r="AI10" s="34" t="e">
        <f t="shared" si="4"/>
        <v>#DIV/0!</v>
      </c>
      <c r="AJ10" s="20" t="e">
        <f>('Kalkylvärden 1'!D$97+'Gods UA1'!Y10*('Kalkylvärden 1'!D$98*(1-'Gods UA1'!AA10/100)+'Kalkylvärden 1'!D$99*'Gods UA1'!AA10/100)+'Gods UA1'!Z10*('Kalkylvärden 1'!D$100*(1-'Gods UA1'!AA10/100)+'Kalkylvärden 1'!D$101*'Gods UA1'!AA10/100))*'Gods UA1'!D10/('Gods UA1'!D10+'Gods UA1'!E10)+('Kalkylvärden 1'!E$97+'Gods UA1'!Y10*('Kalkylvärden 1'!E$98*(1-'Gods UA1'!AA10/100)+'Kalkylvärden 1'!E$99*'Gods UA1'!AA10/100)+'Gods UA1'!Z10*('Kalkylvärden 1'!E$100*(1-'Gods UA1'!AA10/100)+'Kalkylvärden 1'!E$101*'Gods UA1'!AA10/100))*'Gods UA1'!E10/('Gods UA1'!D10+'Gods UA1'!E10)</f>
        <v>#DIV/0!</v>
      </c>
      <c r="AK10" s="20">
        <f>'Kalkylvärden 1'!D$103+'Gods UA1'!Y10*'Kalkylvärden 1'!D$104+'Gods UA1'!Z10*'Kalkylvärden 1'!D$105</f>
        <v>54.767843200000002</v>
      </c>
      <c r="AL10" s="34" t="e">
        <f t="shared" si="5"/>
        <v>#DIV/0!</v>
      </c>
      <c r="AM10" s="34" t="e">
        <f>(AK10*H10*60*2)+(AK10*F10*'Kalkylvärden 1'!$G$9*2)+(J10*'Kalkylvärden 1'!$G$10*'Kalkylvärden 1'!M$100)+(B10/C10*K10*'Kalkylvärden 1'!$D$11)</f>
        <v>#DIV/0!</v>
      </c>
      <c r="AN10" s="34" t="e">
        <f t="shared" si="6"/>
        <v>#DIV/0!</v>
      </c>
      <c r="AO10" s="34" t="e">
        <f t="shared" si="7"/>
        <v>#DIV/0!</v>
      </c>
      <c r="AP10" s="34" t="e">
        <f t="shared" si="8"/>
        <v>#DIV/0!</v>
      </c>
      <c r="AQ10" s="34" t="e">
        <f t="shared" si="9"/>
        <v>#DIV/0!</v>
      </c>
      <c r="AR10" s="34" t="e">
        <f t="shared" si="10"/>
        <v>#DIV/0!</v>
      </c>
      <c r="AS10" s="34" t="s">
        <v>328</v>
      </c>
      <c r="AT10" s="34" t="e">
        <f t="shared" si="11"/>
        <v>#DIV/0!</v>
      </c>
      <c r="AU10" s="34" t="e">
        <f>(AG10*C10)/((B10*(G10+J10))+(B10*'Kalkylvärden 1'!$G$9/60*F10))</f>
        <v>#DIV/0!</v>
      </c>
      <c r="AV10" s="34" t="e">
        <f t="shared" si="12"/>
        <v>#DIV/0!</v>
      </c>
      <c r="AW10" s="34" t="e">
        <f>(AO10*C10)/((B10*(G10+J10))+(B10*'Kalkylvärden 1'!$G$9/60*F10))</f>
        <v>#DIV/0!</v>
      </c>
      <c r="AX10" s="34" t="e">
        <f>-AC10/100*'Kalkylvärden 1'!$B$23*'Gods UA1'!B10</f>
        <v>#DIV/0!</v>
      </c>
      <c r="AY10" s="34" t="e">
        <f t="shared" si="13"/>
        <v>#DIV/0!</v>
      </c>
      <c r="AZ10" s="34" t="e">
        <f t="shared" si="14"/>
        <v>#DIV/0!</v>
      </c>
      <c r="BA10" s="34" t="e">
        <f t="shared" si="15"/>
        <v>#DIV/0!</v>
      </c>
      <c r="BB10" s="34" t="e">
        <f t="shared" si="16"/>
        <v>#DIV/0!</v>
      </c>
      <c r="BC10" s="34" t="e">
        <f t="shared" si="17"/>
        <v>#DIV/0!</v>
      </c>
      <c r="BD10" s="34" t="e">
        <f t="shared" si="18"/>
        <v>#DIV/0!</v>
      </c>
      <c r="BE10" s="34" t="e">
        <f>IF(AX10&lt;0,((B10+AX10)*(G10-H10))*((L10/100*'Kalkylvärden 1'!B$195)+('Gods UA1'!M10/100*'Gods UA1'!B$168)+('Gods UA1'!N10/100*'Kalkylvärden 1'!B$197)+('Gods UA1'!O10*'Kalkylvärden 1'!B$198)+('Gods UA1'!P10/100*'Kalkylvärden 1'!B$199)+('Gods UA1'!Q10/100*'Kalkylvärden 1'!B$200)+('Gods UA1'!R10*'Kalkylvärden 1'!B$201)+('Gods UA1'!S10/100*'Kalkylvärden 1'!B$202)+('Gods UA1'!T10/100*'Kalkylvärden 1'!B$203)+('Gods UA1'!U10*'Kalkylvärden 1'!B$204)+('Gods UA1'!V10/100*'Kalkylvärden 1'!B$205)+('Gods UA1'!W10/100*'Kalkylvärden 1'!B$206)),(B10*(G10-H10))*((L10/100*'Kalkylvärden 1'!B$195)+('Gods UA1'!M10/100*'Kalkylvärden 1'!B$196)+('Gods UA1'!N10/100*'Kalkylvärden 1'!B$197)+('Gods UA1'!O10*'Kalkylvärden 1'!B$198)+('Gods UA1'!P10/100*'Kalkylvärden 1'!B$199)+('Gods UA1'!Q10/100*'Kalkylvärden 1'!B$200)+('Gods UA1'!R10/100*'Kalkylvärden 1'!B$201)+('Gods UA1'!S10/100*'Kalkylvärden 1'!B$202)+('Gods UA1'!T10/100*'Kalkylvärden 1'!B$203)+('Gods UA1'!U10/100*'Kalkylvärden 1'!B$204)+('Gods UA1'!V10/100*'Kalkylvärden 1'!B$205)+('Gods UA1'!W10/100*'Kalkylvärden 1'!B$206)))</f>
        <v>#DIV/0!</v>
      </c>
      <c r="BF10" s="34" t="e">
        <f>((ABS(AX10/2))*(G10-H10))*((L10/100*'Kalkylvärden 1'!B$195)+('Gods UA1'!M10/100*'Kalkylvärden 1'!B$196)+('Gods UA1'!N10/100*'Kalkylvärden 1'!B$197)+('Gods UA1'!O10/100*'Kalkylvärden 1'!B$198)+('Gods UA1'!P10/100*'Kalkylvärden 1'!B$199)+('Gods UA1'!Q10/100*'Kalkylvärden 1'!B$200)+('Gods UA1'!R10/100*'Kalkylvärden 1'!B$201)+('Gods UA1'!S10/100*'Kalkylvärden 1'!B$202)+('Gods UA1'!T10/100*'Kalkylvärden 1'!B$203)+('Gods UA1'!U10/100*'Kalkylvärden 1'!B$204)+('Gods UA1'!V10/100*'Kalkylvärden 1'!B$205)+('Gods UA1'!W10/100*'Kalkylvärden 1'!B$206))</f>
        <v>#DIV/0!</v>
      </c>
      <c r="BG10" s="34" t="e">
        <f t="shared" si="19"/>
        <v>#DIV/0!</v>
      </c>
      <c r="BH10" s="34" t="e">
        <f>(AX10*E10*'Kalkylvärden 1'!$E$188)</f>
        <v>#DIV/0!</v>
      </c>
      <c r="BI10" s="60" t="e">
        <f>AX10*(D10+E10)*'Kalkylvärden 1'!$E$184</f>
        <v>#DIV/0!</v>
      </c>
      <c r="BJ10" s="60" t="e">
        <f>(AX10*(D10+E10)*'Kalkylvärden 1'!$E$186)</f>
        <v>#DIV/0!</v>
      </c>
      <c r="BK10" s="60" t="e">
        <f>-AX10/Projektspecifikt!$B$7*(D10+E10)*'Kalkylvärden 1'!$E$180</f>
        <v>#DIV/0!</v>
      </c>
      <c r="BL10" s="60"/>
    </row>
    <row r="11" spans="1:64" x14ac:dyDescent="0.25">
      <c r="A11" s="58" t="s">
        <v>617</v>
      </c>
      <c r="B11" s="262"/>
      <c r="C11" s="262"/>
      <c r="D11" s="307"/>
      <c r="E11" s="307"/>
      <c r="F11" s="307"/>
      <c r="G11" s="307"/>
      <c r="H11" s="307"/>
      <c r="I11" s="307"/>
      <c r="J11" s="307"/>
      <c r="K11" s="307"/>
      <c r="L11" s="262"/>
      <c r="M11" s="262"/>
      <c r="N11" s="262"/>
      <c r="O11" s="262"/>
      <c r="P11" s="262"/>
      <c r="Q11" s="262"/>
      <c r="R11" s="262"/>
      <c r="S11" s="262"/>
      <c r="T11" s="262"/>
      <c r="U11" s="262"/>
      <c r="V11" s="262"/>
      <c r="W11" s="262"/>
      <c r="X11" s="148" t="str">
        <f t="shared" si="0"/>
        <v>FEL</v>
      </c>
      <c r="Y11" s="261">
        <v>20</v>
      </c>
      <c r="Z11" s="261">
        <v>10</v>
      </c>
      <c r="AA11" s="261">
        <v>50</v>
      </c>
      <c r="AB11" s="32" t="e">
        <f>(H11-G11)/(G11+J11+(F11*'Kalkylvärden 1'!$G$9/60))*100</f>
        <v>#DIV/0!</v>
      </c>
      <c r="AC11" s="60" t="e">
        <f t="shared" si="1"/>
        <v>#DIV/0!</v>
      </c>
      <c r="AD11" s="20" t="e">
        <f>('Kalkylvärden 1'!D$97+'Gods UA1'!Y11*('Kalkylvärden 1'!D$98*(1-'Gods UA1'!AA11/100)+'Kalkylvärden 1'!D$99*'Gods UA1'!AA11/100)+'Gods UA1'!Z11*('Kalkylvärden 1'!D$100*(1-'Gods UA1'!AA11/100)+'Kalkylvärden 1'!D$101*'Gods UA1'!AA11/100))*'Gods UA1'!D11/('Gods UA1'!D11+'Gods UA1'!E11)+('Kalkylvärden 1'!E$97+'Gods UA1'!Y11*('Kalkylvärden 1'!E$98*(1-'Gods UA1'!AA11/100)+'Kalkylvärden 1'!E$99*'Gods UA1'!AA11/100)+'Gods UA1'!Z11*('Kalkylvärden 1'!E$100*(1-'Gods UA1'!AA11/100)+'Kalkylvärden 1'!E$101*'Gods UA1'!AA11/100))*'Gods UA1'!E11/('Gods UA1'!D11+'Gods UA1'!E11)</f>
        <v>#DIV/0!</v>
      </c>
      <c r="AE11" s="20">
        <f>'Kalkylvärden 1'!D$103+'Gods UA1'!Y11*'Kalkylvärden 1'!D$104+'Gods UA1'!Z11*'Kalkylvärden 1'!D$105</f>
        <v>54.767843200000002</v>
      </c>
      <c r="AF11" s="34" t="e">
        <f t="shared" si="2"/>
        <v>#DIV/0!</v>
      </c>
      <c r="AG11" s="34" t="e">
        <f>(AE11*G11*60*2)+(F11*AE11*'Kalkylvärden 1'!$G$9*2)+(J11*'Kalkylvärden 1'!$G$10*'Kalkylvärden 1'!M$100)+('Gods UA1'!B11/'Gods UA1'!C11*'Gods UA1'!K11*'Kalkylvärden 1'!$D$11)</f>
        <v>#DIV/0!</v>
      </c>
      <c r="AH11" s="34" t="e">
        <f t="shared" si="3"/>
        <v>#DIV/0!</v>
      </c>
      <c r="AI11" s="34" t="e">
        <f t="shared" si="4"/>
        <v>#DIV/0!</v>
      </c>
      <c r="AJ11" s="20" t="e">
        <f>('Kalkylvärden 1'!D$97+'Gods UA1'!Y11*('Kalkylvärden 1'!D$98*(1-'Gods UA1'!AA11/100)+'Kalkylvärden 1'!D$99*'Gods UA1'!AA11/100)+'Gods UA1'!Z11*('Kalkylvärden 1'!D$100*(1-'Gods UA1'!AA11/100)+'Kalkylvärden 1'!D$101*'Gods UA1'!AA11/100))*'Gods UA1'!D11/('Gods UA1'!D11+'Gods UA1'!E11)+('Kalkylvärden 1'!E$97+'Gods UA1'!Y11*('Kalkylvärden 1'!E$98*(1-'Gods UA1'!AA11/100)+'Kalkylvärden 1'!E$99*'Gods UA1'!AA11/100)+'Gods UA1'!Z11*('Kalkylvärden 1'!E$100*(1-'Gods UA1'!AA11/100)+'Kalkylvärden 1'!E$101*'Gods UA1'!AA11/100))*'Gods UA1'!E11/('Gods UA1'!D11+'Gods UA1'!E11)</f>
        <v>#DIV/0!</v>
      </c>
      <c r="AK11" s="20">
        <f>'Kalkylvärden 1'!D$103+'Gods UA1'!Y11*'Kalkylvärden 1'!D$104+'Gods UA1'!Z11*'Kalkylvärden 1'!D$105</f>
        <v>54.767843200000002</v>
      </c>
      <c r="AL11" s="34" t="e">
        <f t="shared" si="5"/>
        <v>#DIV/0!</v>
      </c>
      <c r="AM11" s="34" t="e">
        <f>(AK11*H11*60*2)+(AK11*F11*'Kalkylvärden 1'!$G$9*2)+(J11*'Kalkylvärden 1'!$G$10*'Kalkylvärden 1'!M$100)+(B11/C11*K11*'Kalkylvärden 1'!$D$11)</f>
        <v>#DIV/0!</v>
      </c>
      <c r="AN11" s="34" t="e">
        <f t="shared" si="6"/>
        <v>#DIV/0!</v>
      </c>
      <c r="AO11" s="34" t="e">
        <f t="shared" si="7"/>
        <v>#DIV/0!</v>
      </c>
      <c r="AP11" s="34" t="e">
        <f t="shared" si="8"/>
        <v>#DIV/0!</v>
      </c>
      <c r="AQ11" s="34" t="e">
        <f t="shared" si="9"/>
        <v>#DIV/0!</v>
      </c>
      <c r="AR11" s="34" t="e">
        <f t="shared" si="10"/>
        <v>#DIV/0!</v>
      </c>
      <c r="AS11" s="34" t="s">
        <v>328</v>
      </c>
      <c r="AT11" s="34" t="e">
        <f t="shared" si="11"/>
        <v>#DIV/0!</v>
      </c>
      <c r="AU11" s="34" t="e">
        <f>(AG11*C11)/((B11*(G11+J11))+(B11*'Kalkylvärden 1'!$G$9/60*F11))</f>
        <v>#DIV/0!</v>
      </c>
      <c r="AV11" s="34" t="e">
        <f t="shared" si="12"/>
        <v>#DIV/0!</v>
      </c>
      <c r="AW11" s="34" t="e">
        <f>(AO11*C11)/((B11*(G11+J11))+(B11*'Kalkylvärden 1'!$G$9/60*F11))</f>
        <v>#DIV/0!</v>
      </c>
      <c r="AX11" s="34" t="e">
        <f>-AC11/100*'Kalkylvärden 1'!$B$23*'Gods UA1'!B11</f>
        <v>#DIV/0!</v>
      </c>
      <c r="AY11" s="34" t="e">
        <f t="shared" si="13"/>
        <v>#DIV/0!</v>
      </c>
      <c r="AZ11" s="34" t="e">
        <f t="shared" si="14"/>
        <v>#DIV/0!</v>
      </c>
      <c r="BA11" s="34" t="e">
        <f t="shared" si="15"/>
        <v>#DIV/0!</v>
      </c>
      <c r="BB11" s="34" t="e">
        <f t="shared" si="16"/>
        <v>#DIV/0!</v>
      </c>
      <c r="BC11" s="34" t="e">
        <f t="shared" si="17"/>
        <v>#DIV/0!</v>
      </c>
      <c r="BD11" s="34" t="e">
        <f t="shared" si="18"/>
        <v>#DIV/0!</v>
      </c>
      <c r="BE11" s="34" t="e">
        <f>IF(AX11&lt;0,((B11+AX11)*(G11-H11))*((L11/100*'Kalkylvärden 1'!B$195)+('Gods UA1'!M11/100*'Gods UA1'!B$168)+('Gods UA1'!N11/100*'Kalkylvärden 1'!B$197)+('Gods UA1'!O11*'Kalkylvärden 1'!B$198)+('Gods UA1'!P11/100*'Kalkylvärden 1'!B$199)+('Gods UA1'!Q11/100*'Kalkylvärden 1'!B$200)+('Gods UA1'!R11*'Kalkylvärden 1'!B$201)+('Gods UA1'!S11/100*'Kalkylvärden 1'!B$202)+('Gods UA1'!T11/100*'Kalkylvärden 1'!B$203)+('Gods UA1'!U11*'Kalkylvärden 1'!B$204)+('Gods UA1'!V11/100*'Kalkylvärden 1'!B$205)+('Gods UA1'!W11/100*'Kalkylvärden 1'!B$206)),(B11*(G11-H11))*((L11/100*'Kalkylvärden 1'!B$195)+('Gods UA1'!M11/100*'Kalkylvärden 1'!B$196)+('Gods UA1'!N11/100*'Kalkylvärden 1'!B$197)+('Gods UA1'!O11*'Kalkylvärden 1'!B$198)+('Gods UA1'!P11/100*'Kalkylvärden 1'!B$199)+('Gods UA1'!Q11/100*'Kalkylvärden 1'!B$200)+('Gods UA1'!R11/100*'Kalkylvärden 1'!B$201)+('Gods UA1'!S11/100*'Kalkylvärden 1'!B$202)+('Gods UA1'!T11/100*'Kalkylvärden 1'!B$203)+('Gods UA1'!U11/100*'Kalkylvärden 1'!B$204)+('Gods UA1'!V11/100*'Kalkylvärden 1'!B$205)+('Gods UA1'!W11/100*'Kalkylvärden 1'!B$206)))</f>
        <v>#DIV/0!</v>
      </c>
      <c r="BF11" s="34" t="e">
        <f>((ABS(AX11/2))*(G11-H11))*((L11/100*'Kalkylvärden 1'!B$195)+('Gods UA1'!M11/100*'Kalkylvärden 1'!B$196)+('Gods UA1'!N11/100*'Kalkylvärden 1'!B$197)+('Gods UA1'!O11/100*'Kalkylvärden 1'!B$198)+('Gods UA1'!P11/100*'Kalkylvärden 1'!B$199)+('Gods UA1'!Q11/100*'Kalkylvärden 1'!B$200)+('Gods UA1'!R11/100*'Kalkylvärden 1'!B$201)+('Gods UA1'!S11/100*'Kalkylvärden 1'!B$202)+('Gods UA1'!T11/100*'Kalkylvärden 1'!B$203)+('Gods UA1'!U11/100*'Kalkylvärden 1'!B$204)+('Gods UA1'!V11/100*'Kalkylvärden 1'!B$205)+('Gods UA1'!W11/100*'Kalkylvärden 1'!B$206))</f>
        <v>#DIV/0!</v>
      </c>
      <c r="BG11" s="34" t="e">
        <f t="shared" si="19"/>
        <v>#DIV/0!</v>
      </c>
      <c r="BH11" s="34" t="e">
        <f>(AX11*E11*'Kalkylvärden 1'!$E$188)</f>
        <v>#DIV/0!</v>
      </c>
      <c r="BI11" s="60" t="e">
        <f>AX11*(D11+E11)*'Kalkylvärden 1'!$E$184</f>
        <v>#DIV/0!</v>
      </c>
      <c r="BJ11" s="60" t="e">
        <f>(AX11*(D11+E11)*'Kalkylvärden 1'!$E$186)</f>
        <v>#DIV/0!</v>
      </c>
      <c r="BK11" s="60" t="e">
        <f>-AX11/Projektspecifikt!$B$7*(D11+E11)*'Kalkylvärden 1'!$E$180</f>
        <v>#DIV/0!</v>
      </c>
      <c r="BL11" s="60"/>
    </row>
    <row r="12" spans="1:64" x14ac:dyDescent="0.25">
      <c r="A12" s="58" t="s">
        <v>617</v>
      </c>
      <c r="B12" s="262"/>
      <c r="C12" s="262"/>
      <c r="D12" s="307"/>
      <c r="E12" s="307"/>
      <c r="F12" s="307"/>
      <c r="G12" s="307"/>
      <c r="H12" s="307"/>
      <c r="I12" s="307"/>
      <c r="J12" s="307"/>
      <c r="K12" s="307"/>
      <c r="L12" s="262"/>
      <c r="M12" s="262"/>
      <c r="N12" s="262"/>
      <c r="O12" s="262"/>
      <c r="P12" s="262"/>
      <c r="Q12" s="262"/>
      <c r="R12" s="262"/>
      <c r="S12" s="262"/>
      <c r="T12" s="262"/>
      <c r="U12" s="262"/>
      <c r="V12" s="262"/>
      <c r="W12" s="262"/>
      <c r="X12" s="148" t="str">
        <f t="shared" si="0"/>
        <v>FEL</v>
      </c>
      <c r="Y12" s="261">
        <v>20</v>
      </c>
      <c r="Z12" s="261">
        <v>10</v>
      </c>
      <c r="AA12" s="261">
        <v>50</v>
      </c>
      <c r="AB12" s="32" t="e">
        <f>(H12-G12)/(G12+J12+(F12*'Kalkylvärden 1'!$G$9/60))*100</f>
        <v>#DIV/0!</v>
      </c>
      <c r="AC12" s="60" t="e">
        <f t="shared" si="1"/>
        <v>#DIV/0!</v>
      </c>
      <c r="AD12" s="20" t="e">
        <f>('Kalkylvärden 1'!D$97+'Gods UA1'!Y12*('Kalkylvärden 1'!D$98*(1-'Gods UA1'!AA12/100)+'Kalkylvärden 1'!D$99*'Gods UA1'!AA12/100)+'Gods UA1'!Z12*('Kalkylvärden 1'!D$100*(1-'Gods UA1'!AA12/100)+'Kalkylvärden 1'!D$101*'Gods UA1'!AA12/100))*'Gods UA1'!D12/('Gods UA1'!D12+'Gods UA1'!E12)+('Kalkylvärden 1'!E$97+'Gods UA1'!Y12*('Kalkylvärden 1'!E$98*(1-'Gods UA1'!AA12/100)+'Kalkylvärden 1'!E$99*'Gods UA1'!AA12/100)+'Gods UA1'!Z12*('Kalkylvärden 1'!E$100*(1-'Gods UA1'!AA12/100)+'Kalkylvärden 1'!E$101*'Gods UA1'!AA12/100))*'Gods UA1'!E12/('Gods UA1'!D12+'Gods UA1'!E12)</f>
        <v>#DIV/0!</v>
      </c>
      <c r="AE12" s="20">
        <f>'Kalkylvärden 1'!D$103+'Gods UA1'!Y12*'Kalkylvärden 1'!D$104+'Gods UA1'!Z12*'Kalkylvärden 1'!D$105</f>
        <v>54.767843200000002</v>
      </c>
      <c r="AF12" s="34" t="e">
        <f t="shared" si="2"/>
        <v>#DIV/0!</v>
      </c>
      <c r="AG12" s="34" t="e">
        <f>(AE12*G12*60*2)+(F12*AE12*'Kalkylvärden 1'!$G$9*2)+(J12*'Kalkylvärden 1'!$G$10*'Kalkylvärden 1'!M$100)+('Gods UA1'!B12/'Gods UA1'!C12*'Gods UA1'!K12*'Kalkylvärden 1'!$D$11)</f>
        <v>#DIV/0!</v>
      </c>
      <c r="AH12" s="34" t="e">
        <f t="shared" si="3"/>
        <v>#DIV/0!</v>
      </c>
      <c r="AI12" s="34" t="e">
        <f t="shared" si="4"/>
        <v>#DIV/0!</v>
      </c>
      <c r="AJ12" s="20" t="e">
        <f>('Kalkylvärden 1'!D$97+'Gods UA1'!Y12*('Kalkylvärden 1'!D$98*(1-'Gods UA1'!AA12/100)+'Kalkylvärden 1'!D$99*'Gods UA1'!AA12/100)+'Gods UA1'!Z12*('Kalkylvärden 1'!D$100*(1-'Gods UA1'!AA12/100)+'Kalkylvärden 1'!D$101*'Gods UA1'!AA12/100))*'Gods UA1'!D12/('Gods UA1'!D12+'Gods UA1'!E12)+('Kalkylvärden 1'!E$97+'Gods UA1'!Y12*('Kalkylvärden 1'!E$98*(1-'Gods UA1'!AA12/100)+'Kalkylvärden 1'!E$99*'Gods UA1'!AA12/100)+'Gods UA1'!Z12*('Kalkylvärden 1'!E$100*(1-'Gods UA1'!AA12/100)+'Kalkylvärden 1'!E$101*'Gods UA1'!AA12/100))*'Gods UA1'!E12/('Gods UA1'!D12+'Gods UA1'!E12)</f>
        <v>#DIV/0!</v>
      </c>
      <c r="AK12" s="20">
        <f>'Kalkylvärden 1'!D$103+'Gods UA1'!Y12*'Kalkylvärden 1'!D$104+'Gods UA1'!Z12*'Kalkylvärden 1'!D$105</f>
        <v>54.767843200000002</v>
      </c>
      <c r="AL12" s="34" t="e">
        <f t="shared" si="5"/>
        <v>#DIV/0!</v>
      </c>
      <c r="AM12" s="34" t="e">
        <f>(AK12*H12*60*2)+(AK12*F12*'Kalkylvärden 1'!$G$9*2)+(J12*'Kalkylvärden 1'!$G$10*'Kalkylvärden 1'!M$100)+(B12/C12*K12*'Kalkylvärden 1'!$D$11)</f>
        <v>#DIV/0!</v>
      </c>
      <c r="AN12" s="34" t="e">
        <f t="shared" si="6"/>
        <v>#DIV/0!</v>
      </c>
      <c r="AO12" s="34" t="e">
        <f t="shared" si="7"/>
        <v>#DIV/0!</v>
      </c>
      <c r="AP12" s="34" t="e">
        <f t="shared" si="8"/>
        <v>#DIV/0!</v>
      </c>
      <c r="AQ12" s="34" t="e">
        <f t="shared" si="9"/>
        <v>#DIV/0!</v>
      </c>
      <c r="AR12" s="34" t="e">
        <f t="shared" si="10"/>
        <v>#DIV/0!</v>
      </c>
      <c r="AS12" s="34" t="s">
        <v>328</v>
      </c>
      <c r="AT12" s="34" t="e">
        <f t="shared" si="11"/>
        <v>#DIV/0!</v>
      </c>
      <c r="AU12" s="34" t="e">
        <f>(AG12*C12)/((B12*(G12+J12))+(B12*'Kalkylvärden 1'!$G$9/60*F12))</f>
        <v>#DIV/0!</v>
      </c>
      <c r="AV12" s="34" t="e">
        <f t="shared" si="12"/>
        <v>#DIV/0!</v>
      </c>
      <c r="AW12" s="34" t="e">
        <f>(AO12*C12)/((B12*(G12+J12))+(B12*'Kalkylvärden 1'!$G$9/60*F12))</f>
        <v>#DIV/0!</v>
      </c>
      <c r="AX12" s="34" t="e">
        <f>-AC12/100*'Kalkylvärden 1'!$B$23*'Gods UA1'!B12</f>
        <v>#DIV/0!</v>
      </c>
      <c r="AY12" s="34" t="e">
        <f t="shared" si="13"/>
        <v>#DIV/0!</v>
      </c>
      <c r="AZ12" s="34" t="e">
        <f t="shared" si="14"/>
        <v>#DIV/0!</v>
      </c>
      <c r="BA12" s="34" t="e">
        <f t="shared" si="15"/>
        <v>#DIV/0!</v>
      </c>
      <c r="BB12" s="34" t="e">
        <f t="shared" si="16"/>
        <v>#DIV/0!</v>
      </c>
      <c r="BC12" s="34" t="e">
        <f t="shared" si="17"/>
        <v>#DIV/0!</v>
      </c>
      <c r="BD12" s="34" t="e">
        <f t="shared" si="18"/>
        <v>#DIV/0!</v>
      </c>
      <c r="BE12" s="34" t="e">
        <f>IF(AX12&lt;0,((B12+AX12)*(G12-H12))*((L12/100*'Kalkylvärden 1'!B$195)+('Gods UA1'!M12/100*'Gods UA1'!B$168)+('Gods UA1'!N12/100*'Kalkylvärden 1'!B$197)+('Gods UA1'!O12*'Kalkylvärden 1'!B$198)+('Gods UA1'!P12/100*'Kalkylvärden 1'!B$199)+('Gods UA1'!Q12/100*'Kalkylvärden 1'!B$200)+('Gods UA1'!R12*'Kalkylvärden 1'!B$201)+('Gods UA1'!S12/100*'Kalkylvärden 1'!B$202)+('Gods UA1'!T12/100*'Kalkylvärden 1'!B$203)+('Gods UA1'!U12*'Kalkylvärden 1'!B$204)+('Gods UA1'!V12/100*'Kalkylvärden 1'!B$205)+('Gods UA1'!W12/100*'Kalkylvärden 1'!B$206)),(B12*(G12-H12))*((L12/100*'Kalkylvärden 1'!B$195)+('Gods UA1'!M12/100*'Kalkylvärden 1'!B$196)+('Gods UA1'!N12/100*'Kalkylvärden 1'!B$197)+('Gods UA1'!O12*'Kalkylvärden 1'!B$198)+('Gods UA1'!P12/100*'Kalkylvärden 1'!B$199)+('Gods UA1'!Q12/100*'Kalkylvärden 1'!B$200)+('Gods UA1'!R12/100*'Kalkylvärden 1'!B$201)+('Gods UA1'!S12/100*'Kalkylvärden 1'!B$202)+('Gods UA1'!T12/100*'Kalkylvärden 1'!B$203)+('Gods UA1'!U12/100*'Kalkylvärden 1'!B$204)+('Gods UA1'!V12/100*'Kalkylvärden 1'!B$205)+('Gods UA1'!W12/100*'Kalkylvärden 1'!B$206)))</f>
        <v>#DIV/0!</v>
      </c>
      <c r="BF12" s="34" t="e">
        <f>((ABS(AX12/2))*(G12-H12))*((L12/100*'Kalkylvärden 1'!B$195)+('Gods UA1'!M12/100*'Kalkylvärden 1'!B$196)+('Gods UA1'!N12/100*'Kalkylvärden 1'!B$197)+('Gods UA1'!O12/100*'Kalkylvärden 1'!B$198)+('Gods UA1'!P12/100*'Kalkylvärden 1'!B$199)+('Gods UA1'!Q12/100*'Kalkylvärden 1'!B$200)+('Gods UA1'!R12/100*'Kalkylvärden 1'!B$201)+('Gods UA1'!S12/100*'Kalkylvärden 1'!B$202)+('Gods UA1'!T12/100*'Kalkylvärden 1'!B$203)+('Gods UA1'!U12/100*'Kalkylvärden 1'!B$204)+('Gods UA1'!V12/100*'Kalkylvärden 1'!B$205)+('Gods UA1'!W12/100*'Kalkylvärden 1'!B$206))</f>
        <v>#DIV/0!</v>
      </c>
      <c r="BG12" s="34" t="e">
        <f t="shared" si="19"/>
        <v>#DIV/0!</v>
      </c>
      <c r="BH12" s="34" t="e">
        <f>(AX12*E12*'Kalkylvärden 1'!$E$188)</f>
        <v>#DIV/0!</v>
      </c>
      <c r="BI12" s="60" t="e">
        <f>AX12*(D12+E12)*'Kalkylvärden 1'!$E$184</f>
        <v>#DIV/0!</v>
      </c>
      <c r="BJ12" s="60" t="e">
        <f>(AX12*(D12+E12)*'Kalkylvärden 1'!$E$186)</f>
        <v>#DIV/0!</v>
      </c>
      <c r="BK12" s="60" t="e">
        <f>-AX12/Projektspecifikt!$B$7*(D12+E12)*'Kalkylvärden 1'!$E$180</f>
        <v>#DIV/0!</v>
      </c>
      <c r="BL12" s="60"/>
    </row>
    <row r="13" spans="1:64" x14ac:dyDescent="0.25">
      <c r="A13" s="58" t="s">
        <v>617</v>
      </c>
      <c r="B13" s="262"/>
      <c r="C13" s="262"/>
      <c r="D13" s="307"/>
      <c r="E13" s="307"/>
      <c r="F13" s="307"/>
      <c r="G13" s="307"/>
      <c r="H13" s="307"/>
      <c r="I13" s="307"/>
      <c r="J13" s="307"/>
      <c r="K13" s="307"/>
      <c r="L13" s="262"/>
      <c r="M13" s="262"/>
      <c r="N13" s="262"/>
      <c r="O13" s="262"/>
      <c r="P13" s="262"/>
      <c r="Q13" s="262"/>
      <c r="R13" s="262"/>
      <c r="S13" s="262"/>
      <c r="T13" s="262"/>
      <c r="U13" s="262"/>
      <c r="V13" s="262"/>
      <c r="W13" s="262"/>
      <c r="X13" s="148" t="str">
        <f t="shared" si="0"/>
        <v>FEL</v>
      </c>
      <c r="Y13" s="261">
        <v>20</v>
      </c>
      <c r="Z13" s="261">
        <v>10</v>
      </c>
      <c r="AA13" s="261">
        <v>50</v>
      </c>
      <c r="AB13" s="32" t="e">
        <f>(H13-G13)/(G13+J13+(F13*'Kalkylvärden 1'!$G$9/60))*100</f>
        <v>#DIV/0!</v>
      </c>
      <c r="AC13" s="60" t="e">
        <f t="shared" si="1"/>
        <v>#DIV/0!</v>
      </c>
      <c r="AD13" s="20" t="e">
        <f>('Kalkylvärden 1'!D$97+'Gods UA1'!Y13*('Kalkylvärden 1'!D$98*(1-'Gods UA1'!AA13/100)+'Kalkylvärden 1'!D$99*'Gods UA1'!AA13/100)+'Gods UA1'!Z13*('Kalkylvärden 1'!D$100*(1-'Gods UA1'!AA13/100)+'Kalkylvärden 1'!D$101*'Gods UA1'!AA13/100))*'Gods UA1'!D13/('Gods UA1'!D13+'Gods UA1'!E13)+('Kalkylvärden 1'!E$97+'Gods UA1'!Y13*('Kalkylvärden 1'!E$98*(1-'Gods UA1'!AA13/100)+'Kalkylvärden 1'!E$99*'Gods UA1'!AA13/100)+'Gods UA1'!Z13*('Kalkylvärden 1'!E$100*(1-'Gods UA1'!AA13/100)+'Kalkylvärden 1'!E$101*'Gods UA1'!AA13/100))*'Gods UA1'!E13/('Gods UA1'!D13+'Gods UA1'!E13)</f>
        <v>#DIV/0!</v>
      </c>
      <c r="AE13" s="20">
        <f>'Kalkylvärden 1'!D$103+'Gods UA1'!Y13*'Kalkylvärden 1'!D$104+'Gods UA1'!Z13*'Kalkylvärden 1'!D$105</f>
        <v>54.767843200000002</v>
      </c>
      <c r="AF13" s="34" t="e">
        <f t="shared" si="2"/>
        <v>#DIV/0!</v>
      </c>
      <c r="AG13" s="34" t="e">
        <f>(AE13*G13*60*2)+(F13*AE13*'Kalkylvärden 1'!$G$9*2)+(J13*'Kalkylvärden 1'!$G$10*'Kalkylvärden 1'!M$100)+('Gods UA1'!B13/'Gods UA1'!C13*'Gods UA1'!K13*'Kalkylvärden 1'!$D$11)</f>
        <v>#DIV/0!</v>
      </c>
      <c r="AH13" s="34" t="e">
        <f t="shared" si="3"/>
        <v>#DIV/0!</v>
      </c>
      <c r="AI13" s="34" t="e">
        <f t="shared" si="4"/>
        <v>#DIV/0!</v>
      </c>
      <c r="AJ13" s="20" t="e">
        <f>('Kalkylvärden 1'!D$97+'Gods UA1'!Y13*('Kalkylvärden 1'!D$98*(1-'Gods UA1'!AA13/100)+'Kalkylvärden 1'!D$99*'Gods UA1'!AA13/100)+'Gods UA1'!Z13*('Kalkylvärden 1'!D$100*(1-'Gods UA1'!AA13/100)+'Kalkylvärden 1'!D$101*'Gods UA1'!AA13/100))*'Gods UA1'!D13/('Gods UA1'!D13+'Gods UA1'!E13)+('Kalkylvärden 1'!E$97+'Gods UA1'!Y13*('Kalkylvärden 1'!E$98*(1-'Gods UA1'!AA13/100)+'Kalkylvärden 1'!E$99*'Gods UA1'!AA13/100)+'Gods UA1'!Z13*('Kalkylvärden 1'!E$100*(1-'Gods UA1'!AA13/100)+'Kalkylvärden 1'!E$101*'Gods UA1'!AA13/100))*'Gods UA1'!E13/('Gods UA1'!D13+'Gods UA1'!E13)</f>
        <v>#DIV/0!</v>
      </c>
      <c r="AK13" s="20">
        <f>'Kalkylvärden 1'!D$103+'Gods UA1'!Y13*'Kalkylvärden 1'!D$104+'Gods UA1'!Z13*'Kalkylvärden 1'!D$105</f>
        <v>54.767843200000002</v>
      </c>
      <c r="AL13" s="34" t="e">
        <f t="shared" si="5"/>
        <v>#DIV/0!</v>
      </c>
      <c r="AM13" s="34" t="e">
        <f>(AK13*H13*60*2)+(AK13*F13*'Kalkylvärden 1'!$G$9*2)+(J13*'Kalkylvärden 1'!$G$10*'Kalkylvärden 1'!M$100)+(B13/C13*K13*'Kalkylvärden 1'!$D$11)</f>
        <v>#DIV/0!</v>
      </c>
      <c r="AN13" s="34" t="e">
        <f t="shared" si="6"/>
        <v>#DIV/0!</v>
      </c>
      <c r="AO13" s="34" t="e">
        <f t="shared" si="7"/>
        <v>#DIV/0!</v>
      </c>
      <c r="AP13" s="34" t="e">
        <f t="shared" si="8"/>
        <v>#DIV/0!</v>
      </c>
      <c r="AQ13" s="34" t="e">
        <f t="shared" si="9"/>
        <v>#DIV/0!</v>
      </c>
      <c r="AR13" s="34" t="e">
        <f t="shared" si="10"/>
        <v>#DIV/0!</v>
      </c>
      <c r="AS13" s="34" t="s">
        <v>328</v>
      </c>
      <c r="AT13" s="34" t="e">
        <f t="shared" si="11"/>
        <v>#DIV/0!</v>
      </c>
      <c r="AU13" s="34" t="e">
        <f>(AG13*C13)/((B13*(G13+J13))+(B13*'Kalkylvärden 1'!$G$9/60*F13))</f>
        <v>#DIV/0!</v>
      </c>
      <c r="AV13" s="34" t="e">
        <f t="shared" si="12"/>
        <v>#DIV/0!</v>
      </c>
      <c r="AW13" s="34" t="e">
        <f>(AO13*C13)/((B13*(G13+J13))+(B13*'Kalkylvärden 1'!$G$9/60*F13))</f>
        <v>#DIV/0!</v>
      </c>
      <c r="AX13" s="34" t="e">
        <f>-AC13/100*'Kalkylvärden 1'!$B$23*'Gods UA1'!B13</f>
        <v>#DIV/0!</v>
      </c>
      <c r="AY13" s="34" t="e">
        <f t="shared" si="13"/>
        <v>#DIV/0!</v>
      </c>
      <c r="AZ13" s="34" t="e">
        <f t="shared" si="14"/>
        <v>#DIV/0!</v>
      </c>
      <c r="BA13" s="34" t="e">
        <f t="shared" si="15"/>
        <v>#DIV/0!</v>
      </c>
      <c r="BB13" s="34" t="e">
        <f t="shared" si="16"/>
        <v>#DIV/0!</v>
      </c>
      <c r="BC13" s="34" t="e">
        <f t="shared" si="17"/>
        <v>#DIV/0!</v>
      </c>
      <c r="BD13" s="34" t="e">
        <f t="shared" si="18"/>
        <v>#DIV/0!</v>
      </c>
      <c r="BE13" s="34" t="e">
        <f>IF(AX13&lt;0,((B13+AX13)*(G13-H13))*((L13/100*'Kalkylvärden 1'!B$195)+('Gods UA1'!M13/100*'Gods UA1'!B$168)+('Gods UA1'!N13/100*'Kalkylvärden 1'!B$197)+('Gods UA1'!O13*'Kalkylvärden 1'!B$198)+('Gods UA1'!P13/100*'Kalkylvärden 1'!B$199)+('Gods UA1'!Q13/100*'Kalkylvärden 1'!B$200)+('Gods UA1'!R13*'Kalkylvärden 1'!B$201)+('Gods UA1'!S13/100*'Kalkylvärden 1'!B$202)+('Gods UA1'!T13/100*'Kalkylvärden 1'!B$203)+('Gods UA1'!U13*'Kalkylvärden 1'!B$204)+('Gods UA1'!V13/100*'Kalkylvärden 1'!B$205)+('Gods UA1'!W13/100*'Kalkylvärden 1'!B$206)),(B13*(G13-H13))*((L13/100*'Kalkylvärden 1'!B$195)+('Gods UA1'!M13/100*'Kalkylvärden 1'!B$196)+('Gods UA1'!N13/100*'Kalkylvärden 1'!B$197)+('Gods UA1'!O13*'Kalkylvärden 1'!B$198)+('Gods UA1'!P13/100*'Kalkylvärden 1'!B$199)+('Gods UA1'!Q13/100*'Kalkylvärden 1'!B$200)+('Gods UA1'!R13/100*'Kalkylvärden 1'!B$201)+('Gods UA1'!S13/100*'Kalkylvärden 1'!B$202)+('Gods UA1'!T13/100*'Kalkylvärden 1'!B$203)+('Gods UA1'!U13/100*'Kalkylvärden 1'!B$204)+('Gods UA1'!V13/100*'Kalkylvärden 1'!B$205)+('Gods UA1'!W13/100*'Kalkylvärden 1'!B$206)))</f>
        <v>#DIV/0!</v>
      </c>
      <c r="BF13" s="34" t="e">
        <f>((ABS(AX13/2))*(G13-H13))*((L13/100*'Kalkylvärden 1'!B$195)+('Gods UA1'!M13/100*'Kalkylvärden 1'!B$196)+('Gods UA1'!N13/100*'Kalkylvärden 1'!B$197)+('Gods UA1'!O13/100*'Kalkylvärden 1'!B$198)+('Gods UA1'!P13/100*'Kalkylvärden 1'!B$199)+('Gods UA1'!Q13/100*'Kalkylvärden 1'!B$200)+('Gods UA1'!R13/100*'Kalkylvärden 1'!B$201)+('Gods UA1'!S13/100*'Kalkylvärden 1'!B$202)+('Gods UA1'!T13/100*'Kalkylvärden 1'!B$203)+('Gods UA1'!U13/100*'Kalkylvärden 1'!B$204)+('Gods UA1'!V13/100*'Kalkylvärden 1'!B$205)+('Gods UA1'!W13/100*'Kalkylvärden 1'!B$206))</f>
        <v>#DIV/0!</v>
      </c>
      <c r="BG13" s="34" t="e">
        <f t="shared" si="19"/>
        <v>#DIV/0!</v>
      </c>
      <c r="BH13" s="34" t="e">
        <f>(AX13*E13*'Kalkylvärden 1'!$E$188)</f>
        <v>#DIV/0!</v>
      </c>
      <c r="BI13" s="60" t="e">
        <f>AX13*(D13+E13)*'Kalkylvärden 1'!$E$184</f>
        <v>#DIV/0!</v>
      </c>
      <c r="BJ13" s="60" t="e">
        <f>(AX13*(D13+E13)*'Kalkylvärden 1'!$E$186)</f>
        <v>#DIV/0!</v>
      </c>
      <c r="BK13" s="60" t="e">
        <f>-AX13/Projektspecifikt!$B$7*(D13+E13)*'Kalkylvärden 1'!$E$180</f>
        <v>#DIV/0!</v>
      </c>
      <c r="BL13" s="60"/>
    </row>
    <row r="14" spans="1:64" x14ac:dyDescent="0.25">
      <c r="A14" s="58" t="s">
        <v>617</v>
      </c>
      <c r="B14" s="262"/>
      <c r="C14" s="262"/>
      <c r="D14" s="307"/>
      <c r="E14" s="307"/>
      <c r="F14" s="307"/>
      <c r="G14" s="307"/>
      <c r="H14" s="307"/>
      <c r="I14" s="307"/>
      <c r="J14" s="307"/>
      <c r="K14" s="307"/>
      <c r="L14" s="262"/>
      <c r="M14" s="262"/>
      <c r="N14" s="262"/>
      <c r="O14" s="262"/>
      <c r="P14" s="262"/>
      <c r="Q14" s="262"/>
      <c r="R14" s="262"/>
      <c r="S14" s="262"/>
      <c r="T14" s="262"/>
      <c r="U14" s="262"/>
      <c r="V14" s="262"/>
      <c r="W14" s="262"/>
      <c r="X14" s="148" t="str">
        <f t="shared" si="0"/>
        <v>FEL</v>
      </c>
      <c r="Y14" s="261">
        <v>20</v>
      </c>
      <c r="Z14" s="261">
        <v>10</v>
      </c>
      <c r="AA14" s="261">
        <v>50</v>
      </c>
      <c r="AB14" s="32" t="e">
        <f>(H14-G14)/(G14+J14+(F14*'Kalkylvärden 1'!$G$9/60))*100</f>
        <v>#DIV/0!</v>
      </c>
      <c r="AC14" s="60" t="e">
        <f t="shared" si="1"/>
        <v>#DIV/0!</v>
      </c>
      <c r="AD14" s="20" t="e">
        <f>('Kalkylvärden 1'!D$97+'Gods UA1'!Y14*('Kalkylvärden 1'!D$98*(1-'Gods UA1'!AA14/100)+'Kalkylvärden 1'!D$99*'Gods UA1'!AA14/100)+'Gods UA1'!Z14*('Kalkylvärden 1'!D$100*(1-'Gods UA1'!AA14/100)+'Kalkylvärden 1'!D$101*'Gods UA1'!AA14/100))*'Gods UA1'!D14/('Gods UA1'!D14+'Gods UA1'!E14)+('Kalkylvärden 1'!E$97+'Gods UA1'!Y14*('Kalkylvärden 1'!E$98*(1-'Gods UA1'!AA14/100)+'Kalkylvärden 1'!E$99*'Gods UA1'!AA14/100)+'Gods UA1'!Z14*('Kalkylvärden 1'!E$100*(1-'Gods UA1'!AA14/100)+'Kalkylvärden 1'!E$101*'Gods UA1'!AA14/100))*'Gods UA1'!E14/('Gods UA1'!D14+'Gods UA1'!E14)</f>
        <v>#DIV/0!</v>
      </c>
      <c r="AE14" s="20">
        <f>'Kalkylvärden 1'!D$103+'Gods UA1'!Y14*'Kalkylvärden 1'!D$104+'Gods UA1'!Z14*'Kalkylvärden 1'!D$105</f>
        <v>54.767843200000002</v>
      </c>
      <c r="AF14" s="34" t="e">
        <f t="shared" si="2"/>
        <v>#DIV/0!</v>
      </c>
      <c r="AG14" s="34" t="e">
        <f>(AE14*G14*60*2)+(F14*AE14*'Kalkylvärden 1'!$G$9*2)+(J14*'Kalkylvärden 1'!$G$10*'Kalkylvärden 1'!M$100)+('Gods UA1'!B14/'Gods UA1'!C14*'Gods UA1'!K14*'Kalkylvärden 1'!$D$11)</f>
        <v>#DIV/0!</v>
      </c>
      <c r="AH14" s="34" t="e">
        <f t="shared" si="3"/>
        <v>#DIV/0!</v>
      </c>
      <c r="AI14" s="34" t="e">
        <f t="shared" si="4"/>
        <v>#DIV/0!</v>
      </c>
      <c r="AJ14" s="20" t="e">
        <f>('Kalkylvärden 1'!D$97+'Gods UA1'!Y14*('Kalkylvärden 1'!D$98*(1-'Gods UA1'!AA14/100)+'Kalkylvärden 1'!D$99*'Gods UA1'!AA14/100)+'Gods UA1'!Z14*('Kalkylvärden 1'!D$100*(1-'Gods UA1'!AA14/100)+'Kalkylvärden 1'!D$101*'Gods UA1'!AA14/100))*'Gods UA1'!D14/('Gods UA1'!D14+'Gods UA1'!E14)+('Kalkylvärden 1'!E$97+'Gods UA1'!Y14*('Kalkylvärden 1'!E$98*(1-'Gods UA1'!AA14/100)+'Kalkylvärden 1'!E$99*'Gods UA1'!AA14/100)+'Gods UA1'!Z14*('Kalkylvärden 1'!E$100*(1-'Gods UA1'!AA14/100)+'Kalkylvärden 1'!E$101*'Gods UA1'!AA14/100))*'Gods UA1'!E14/('Gods UA1'!D14+'Gods UA1'!E14)</f>
        <v>#DIV/0!</v>
      </c>
      <c r="AK14" s="20">
        <f>'Kalkylvärden 1'!D$103+'Gods UA1'!Y14*'Kalkylvärden 1'!D$104+'Gods UA1'!Z14*'Kalkylvärden 1'!D$105</f>
        <v>54.767843200000002</v>
      </c>
      <c r="AL14" s="34" t="e">
        <f t="shared" si="5"/>
        <v>#DIV/0!</v>
      </c>
      <c r="AM14" s="34" t="e">
        <f>(AK14*H14*60*2)+(AK14*F14*'Kalkylvärden 1'!$G$9*2)+(J14*'Kalkylvärden 1'!$G$10*'Kalkylvärden 1'!M$100)+(B14/C14*K14*'Kalkylvärden 1'!$D$11)</f>
        <v>#DIV/0!</v>
      </c>
      <c r="AN14" s="34" t="e">
        <f t="shared" si="6"/>
        <v>#DIV/0!</v>
      </c>
      <c r="AO14" s="34" t="e">
        <f t="shared" si="7"/>
        <v>#DIV/0!</v>
      </c>
      <c r="AP14" s="34" t="e">
        <f t="shared" si="8"/>
        <v>#DIV/0!</v>
      </c>
      <c r="AQ14" s="34" t="e">
        <f t="shared" si="9"/>
        <v>#DIV/0!</v>
      </c>
      <c r="AR14" s="34" t="e">
        <f t="shared" si="10"/>
        <v>#DIV/0!</v>
      </c>
      <c r="AS14" s="34" t="s">
        <v>328</v>
      </c>
      <c r="AT14" s="34" t="e">
        <f t="shared" si="11"/>
        <v>#DIV/0!</v>
      </c>
      <c r="AU14" s="34" t="e">
        <f>(AG14*C14)/((B14*(G14+J14))+(B14*'Kalkylvärden 1'!$G$9/60*F14))</f>
        <v>#DIV/0!</v>
      </c>
      <c r="AV14" s="34" t="e">
        <f t="shared" si="12"/>
        <v>#DIV/0!</v>
      </c>
      <c r="AW14" s="34" t="e">
        <f>(AO14*C14)/((B14*(G14+J14))+(B14*'Kalkylvärden 1'!$G$9/60*F14))</f>
        <v>#DIV/0!</v>
      </c>
      <c r="AX14" s="34" t="e">
        <f>-AC14/100*'Kalkylvärden 1'!$B$23*'Gods UA1'!B14</f>
        <v>#DIV/0!</v>
      </c>
      <c r="AY14" s="34" t="e">
        <f t="shared" si="13"/>
        <v>#DIV/0!</v>
      </c>
      <c r="AZ14" s="34" t="e">
        <f t="shared" si="14"/>
        <v>#DIV/0!</v>
      </c>
      <c r="BA14" s="34" t="e">
        <f t="shared" si="15"/>
        <v>#DIV/0!</v>
      </c>
      <c r="BB14" s="34" t="e">
        <f t="shared" si="16"/>
        <v>#DIV/0!</v>
      </c>
      <c r="BC14" s="34" t="e">
        <f t="shared" si="17"/>
        <v>#DIV/0!</v>
      </c>
      <c r="BD14" s="34" t="e">
        <f t="shared" si="18"/>
        <v>#DIV/0!</v>
      </c>
      <c r="BE14" s="34" t="e">
        <f>IF(AX14&lt;0,((B14+AX14)*(G14-H14))*((L14/100*'Kalkylvärden 1'!B$195)+('Gods UA1'!M14/100*'Gods UA1'!B$168)+('Gods UA1'!N14/100*'Kalkylvärden 1'!B$197)+('Gods UA1'!O14*'Kalkylvärden 1'!B$198)+('Gods UA1'!P14/100*'Kalkylvärden 1'!B$199)+('Gods UA1'!Q14/100*'Kalkylvärden 1'!B$200)+('Gods UA1'!R14*'Kalkylvärden 1'!B$201)+('Gods UA1'!S14/100*'Kalkylvärden 1'!B$202)+('Gods UA1'!T14/100*'Kalkylvärden 1'!B$203)+('Gods UA1'!U14*'Kalkylvärden 1'!B$204)+('Gods UA1'!V14/100*'Kalkylvärden 1'!B$205)+('Gods UA1'!W14/100*'Kalkylvärden 1'!B$206)),(B14*(G14-H14))*((L14/100*'Kalkylvärden 1'!B$195)+('Gods UA1'!M14/100*'Kalkylvärden 1'!B$196)+('Gods UA1'!N14/100*'Kalkylvärden 1'!B$197)+('Gods UA1'!O14*'Kalkylvärden 1'!B$198)+('Gods UA1'!P14/100*'Kalkylvärden 1'!B$199)+('Gods UA1'!Q14/100*'Kalkylvärden 1'!B$200)+('Gods UA1'!R14/100*'Kalkylvärden 1'!B$201)+('Gods UA1'!S14/100*'Kalkylvärden 1'!B$202)+('Gods UA1'!T14/100*'Kalkylvärden 1'!B$203)+('Gods UA1'!U14/100*'Kalkylvärden 1'!B$204)+('Gods UA1'!V14/100*'Kalkylvärden 1'!B$205)+('Gods UA1'!W14/100*'Kalkylvärden 1'!B$206)))</f>
        <v>#DIV/0!</v>
      </c>
      <c r="BF14" s="34" t="e">
        <f>((ABS(AX14/2))*(G14-H14))*((L14/100*'Kalkylvärden 1'!B$195)+('Gods UA1'!M14/100*'Kalkylvärden 1'!B$196)+('Gods UA1'!N14/100*'Kalkylvärden 1'!B$197)+('Gods UA1'!O14/100*'Kalkylvärden 1'!B$198)+('Gods UA1'!P14/100*'Kalkylvärden 1'!B$199)+('Gods UA1'!Q14/100*'Kalkylvärden 1'!B$200)+('Gods UA1'!R14/100*'Kalkylvärden 1'!B$201)+('Gods UA1'!S14/100*'Kalkylvärden 1'!B$202)+('Gods UA1'!T14/100*'Kalkylvärden 1'!B$203)+('Gods UA1'!U14/100*'Kalkylvärden 1'!B$204)+('Gods UA1'!V14/100*'Kalkylvärden 1'!B$205)+('Gods UA1'!W14/100*'Kalkylvärden 1'!B$206))</f>
        <v>#DIV/0!</v>
      </c>
      <c r="BG14" s="34" t="e">
        <f t="shared" si="19"/>
        <v>#DIV/0!</v>
      </c>
      <c r="BH14" s="34" t="e">
        <f>(AX14*E14*'Kalkylvärden 1'!$E$188)</f>
        <v>#DIV/0!</v>
      </c>
      <c r="BI14" s="60" t="e">
        <f>AX14*(D14+E14)*'Kalkylvärden 1'!$E$184</f>
        <v>#DIV/0!</v>
      </c>
      <c r="BJ14" s="60" t="e">
        <f>(AX14*(D14+E14)*'Kalkylvärden 1'!$E$186)</f>
        <v>#DIV/0!</v>
      </c>
      <c r="BK14" s="60" t="e">
        <f>-AX14/Projektspecifikt!$B$7*(D14+E14)*'Kalkylvärden 1'!$E$180</f>
        <v>#DIV/0!</v>
      </c>
      <c r="BL14" s="60"/>
    </row>
    <row r="15" spans="1:64" x14ac:dyDescent="0.25">
      <c r="A15" s="58" t="s">
        <v>617</v>
      </c>
      <c r="B15" s="262"/>
      <c r="C15" s="262"/>
      <c r="D15" s="307"/>
      <c r="E15" s="307"/>
      <c r="F15" s="307"/>
      <c r="G15" s="307"/>
      <c r="H15" s="307"/>
      <c r="I15" s="307"/>
      <c r="J15" s="307"/>
      <c r="K15" s="307"/>
      <c r="L15" s="262"/>
      <c r="M15" s="262"/>
      <c r="N15" s="262"/>
      <c r="O15" s="262"/>
      <c r="P15" s="262"/>
      <c r="Q15" s="262"/>
      <c r="R15" s="262"/>
      <c r="S15" s="262"/>
      <c r="T15" s="262"/>
      <c r="U15" s="262"/>
      <c r="V15" s="262"/>
      <c r="W15" s="262"/>
      <c r="X15" s="148" t="str">
        <f t="shared" si="0"/>
        <v>FEL</v>
      </c>
      <c r="Y15" s="261">
        <v>20</v>
      </c>
      <c r="Z15" s="261">
        <v>10</v>
      </c>
      <c r="AA15" s="261">
        <v>50</v>
      </c>
      <c r="AB15" s="32" t="e">
        <f>(H15-G15)/(G15+J15+(F15*'Kalkylvärden 1'!$G$9/60))*100</f>
        <v>#DIV/0!</v>
      </c>
      <c r="AC15" s="60" t="e">
        <f t="shared" si="1"/>
        <v>#DIV/0!</v>
      </c>
      <c r="AD15" s="20" t="e">
        <f>('Kalkylvärden 1'!D$97+'Gods UA1'!Y15*('Kalkylvärden 1'!D$98*(1-'Gods UA1'!AA15/100)+'Kalkylvärden 1'!D$99*'Gods UA1'!AA15/100)+'Gods UA1'!Z15*('Kalkylvärden 1'!D$100*(1-'Gods UA1'!AA15/100)+'Kalkylvärden 1'!D$101*'Gods UA1'!AA15/100))*'Gods UA1'!D15/('Gods UA1'!D15+'Gods UA1'!E15)+('Kalkylvärden 1'!E$97+'Gods UA1'!Y15*('Kalkylvärden 1'!E$98*(1-'Gods UA1'!AA15/100)+'Kalkylvärden 1'!E$99*'Gods UA1'!AA15/100)+'Gods UA1'!Z15*('Kalkylvärden 1'!E$100*(1-'Gods UA1'!AA15/100)+'Kalkylvärden 1'!E$101*'Gods UA1'!AA15/100))*'Gods UA1'!E15/('Gods UA1'!D15+'Gods UA1'!E15)</f>
        <v>#DIV/0!</v>
      </c>
      <c r="AE15" s="20">
        <f>'Kalkylvärden 1'!D$103+'Gods UA1'!Y15*'Kalkylvärden 1'!D$104+'Gods UA1'!Z15*'Kalkylvärden 1'!D$105</f>
        <v>54.767843200000002</v>
      </c>
      <c r="AF15" s="34" t="e">
        <f t="shared" si="2"/>
        <v>#DIV/0!</v>
      </c>
      <c r="AG15" s="34" t="e">
        <f>(AE15*G15*60*2)+(F15*AE15*'Kalkylvärden 1'!$G$9*2)+(J15*'Kalkylvärden 1'!$G$10*'Kalkylvärden 1'!M$100)+('Gods UA1'!B15/'Gods UA1'!C15*'Gods UA1'!K15*'Kalkylvärden 1'!$D$11)</f>
        <v>#DIV/0!</v>
      </c>
      <c r="AH15" s="34" t="e">
        <f t="shared" si="3"/>
        <v>#DIV/0!</v>
      </c>
      <c r="AI15" s="34" t="e">
        <f t="shared" si="4"/>
        <v>#DIV/0!</v>
      </c>
      <c r="AJ15" s="20" t="e">
        <f>('Kalkylvärden 1'!D$97+'Gods UA1'!Y15*('Kalkylvärden 1'!D$98*(1-'Gods UA1'!AA15/100)+'Kalkylvärden 1'!D$99*'Gods UA1'!AA15/100)+'Gods UA1'!Z15*('Kalkylvärden 1'!D$100*(1-'Gods UA1'!AA15/100)+'Kalkylvärden 1'!D$101*'Gods UA1'!AA15/100))*'Gods UA1'!D15/('Gods UA1'!D15+'Gods UA1'!E15)+('Kalkylvärden 1'!E$97+'Gods UA1'!Y15*('Kalkylvärden 1'!E$98*(1-'Gods UA1'!AA15/100)+'Kalkylvärden 1'!E$99*'Gods UA1'!AA15/100)+'Gods UA1'!Z15*('Kalkylvärden 1'!E$100*(1-'Gods UA1'!AA15/100)+'Kalkylvärden 1'!E$101*'Gods UA1'!AA15/100))*'Gods UA1'!E15/('Gods UA1'!D15+'Gods UA1'!E15)</f>
        <v>#DIV/0!</v>
      </c>
      <c r="AK15" s="20">
        <f>'Kalkylvärden 1'!D$103+'Gods UA1'!Y15*'Kalkylvärden 1'!D$104+'Gods UA1'!Z15*'Kalkylvärden 1'!D$105</f>
        <v>54.767843200000002</v>
      </c>
      <c r="AL15" s="34" t="e">
        <f t="shared" si="5"/>
        <v>#DIV/0!</v>
      </c>
      <c r="AM15" s="34" t="e">
        <f>(AK15*H15*60*2)+(AK15*F15*'Kalkylvärden 1'!$G$9*2)+(J15*'Kalkylvärden 1'!$G$10*'Kalkylvärden 1'!M$100)+(B15/C15*K15*'Kalkylvärden 1'!$D$11)</f>
        <v>#DIV/0!</v>
      </c>
      <c r="AN15" s="34" t="e">
        <f t="shared" si="6"/>
        <v>#DIV/0!</v>
      </c>
      <c r="AO15" s="34" t="e">
        <f t="shared" si="7"/>
        <v>#DIV/0!</v>
      </c>
      <c r="AP15" s="34" t="e">
        <f t="shared" si="8"/>
        <v>#DIV/0!</v>
      </c>
      <c r="AQ15" s="34" t="e">
        <f t="shared" si="9"/>
        <v>#DIV/0!</v>
      </c>
      <c r="AR15" s="34" t="e">
        <f t="shared" si="10"/>
        <v>#DIV/0!</v>
      </c>
      <c r="AS15" s="34" t="s">
        <v>328</v>
      </c>
      <c r="AT15" s="34" t="e">
        <f t="shared" si="11"/>
        <v>#DIV/0!</v>
      </c>
      <c r="AU15" s="34" t="e">
        <f>(AG15*C15)/((B15*(G15+J15))+(B15*'Kalkylvärden 1'!$G$9/60*F15))</f>
        <v>#DIV/0!</v>
      </c>
      <c r="AV15" s="34" t="e">
        <f t="shared" si="12"/>
        <v>#DIV/0!</v>
      </c>
      <c r="AW15" s="34" t="e">
        <f>(AO15*C15)/((B15*(G15+J15))+(B15*'Kalkylvärden 1'!$G$9/60*F15))</f>
        <v>#DIV/0!</v>
      </c>
      <c r="AX15" s="34" t="e">
        <f>-AC15/100*'Kalkylvärden 1'!$B$23*'Gods UA1'!B15</f>
        <v>#DIV/0!</v>
      </c>
      <c r="AY15" s="34" t="e">
        <f t="shared" si="13"/>
        <v>#DIV/0!</v>
      </c>
      <c r="AZ15" s="34" t="e">
        <f t="shared" si="14"/>
        <v>#DIV/0!</v>
      </c>
      <c r="BA15" s="34" t="e">
        <f t="shared" si="15"/>
        <v>#DIV/0!</v>
      </c>
      <c r="BB15" s="34" t="e">
        <f t="shared" si="16"/>
        <v>#DIV/0!</v>
      </c>
      <c r="BC15" s="34" t="e">
        <f t="shared" si="17"/>
        <v>#DIV/0!</v>
      </c>
      <c r="BD15" s="34" t="e">
        <f t="shared" si="18"/>
        <v>#DIV/0!</v>
      </c>
      <c r="BE15" s="34" t="e">
        <f>IF(AX15&lt;0,((B15+AX15)*(G15-H15))*((L15/100*'Kalkylvärden 1'!B$195)+('Gods UA1'!M15/100*'Gods UA1'!B$168)+('Gods UA1'!N15/100*'Kalkylvärden 1'!B$197)+('Gods UA1'!O15*'Kalkylvärden 1'!B$198)+('Gods UA1'!P15/100*'Kalkylvärden 1'!B$199)+('Gods UA1'!Q15/100*'Kalkylvärden 1'!B$200)+('Gods UA1'!R15*'Kalkylvärden 1'!B$201)+('Gods UA1'!S15/100*'Kalkylvärden 1'!B$202)+('Gods UA1'!T15/100*'Kalkylvärden 1'!B$203)+('Gods UA1'!U15*'Kalkylvärden 1'!B$204)+('Gods UA1'!V15/100*'Kalkylvärden 1'!B$205)+('Gods UA1'!W15/100*'Kalkylvärden 1'!B$206)),(B15*(G15-H15))*((L15/100*'Kalkylvärden 1'!B$195)+('Gods UA1'!M15/100*'Kalkylvärden 1'!B$196)+('Gods UA1'!N15/100*'Kalkylvärden 1'!B$197)+('Gods UA1'!O15*'Kalkylvärden 1'!B$198)+('Gods UA1'!P15/100*'Kalkylvärden 1'!B$199)+('Gods UA1'!Q15/100*'Kalkylvärden 1'!B$200)+('Gods UA1'!R15/100*'Kalkylvärden 1'!B$201)+('Gods UA1'!S15/100*'Kalkylvärden 1'!B$202)+('Gods UA1'!T15/100*'Kalkylvärden 1'!B$203)+('Gods UA1'!U15/100*'Kalkylvärden 1'!B$204)+('Gods UA1'!V15/100*'Kalkylvärden 1'!B$205)+('Gods UA1'!W15/100*'Kalkylvärden 1'!B$206)))</f>
        <v>#DIV/0!</v>
      </c>
      <c r="BF15" s="34" t="e">
        <f>((ABS(AX15/2))*(G15-H15))*((L15/100*'Kalkylvärden 1'!B$195)+('Gods UA1'!M15/100*'Kalkylvärden 1'!B$196)+('Gods UA1'!N15/100*'Kalkylvärden 1'!B$197)+('Gods UA1'!O15/100*'Kalkylvärden 1'!B$198)+('Gods UA1'!P15/100*'Kalkylvärden 1'!B$199)+('Gods UA1'!Q15/100*'Kalkylvärden 1'!B$200)+('Gods UA1'!R15/100*'Kalkylvärden 1'!B$201)+('Gods UA1'!S15/100*'Kalkylvärden 1'!B$202)+('Gods UA1'!T15/100*'Kalkylvärden 1'!B$203)+('Gods UA1'!U15/100*'Kalkylvärden 1'!B$204)+('Gods UA1'!V15/100*'Kalkylvärden 1'!B$205)+('Gods UA1'!W15/100*'Kalkylvärden 1'!B$206))</f>
        <v>#DIV/0!</v>
      </c>
      <c r="BG15" s="34" t="e">
        <f t="shared" si="19"/>
        <v>#DIV/0!</v>
      </c>
      <c r="BH15" s="34" t="e">
        <f>(AX15*E15*'Kalkylvärden 1'!$E$188)</f>
        <v>#DIV/0!</v>
      </c>
      <c r="BI15" s="60" t="e">
        <f>AX15*(D15+E15)*'Kalkylvärden 1'!$E$184</f>
        <v>#DIV/0!</v>
      </c>
      <c r="BJ15" s="60" t="e">
        <f>(AX15*(D15+E15)*'Kalkylvärden 1'!$E$186)</f>
        <v>#DIV/0!</v>
      </c>
      <c r="BK15" s="60" t="e">
        <f>-AX15/Projektspecifikt!$B$7*(D15+E15)*'Kalkylvärden 1'!$E$180</f>
        <v>#DIV/0!</v>
      </c>
      <c r="BL15" s="60"/>
    </row>
    <row r="16" spans="1:64" x14ac:dyDescent="0.25">
      <c r="A16" s="58" t="s">
        <v>617</v>
      </c>
      <c r="B16" s="262"/>
      <c r="C16" s="262"/>
      <c r="D16" s="307"/>
      <c r="E16" s="307"/>
      <c r="F16" s="307"/>
      <c r="G16" s="307"/>
      <c r="H16" s="307"/>
      <c r="I16" s="307"/>
      <c r="J16" s="307"/>
      <c r="K16" s="307"/>
      <c r="L16" s="262"/>
      <c r="M16" s="262"/>
      <c r="N16" s="262"/>
      <c r="O16" s="262"/>
      <c r="P16" s="262"/>
      <c r="Q16" s="262"/>
      <c r="R16" s="262"/>
      <c r="S16" s="262"/>
      <c r="T16" s="262"/>
      <c r="U16" s="262"/>
      <c r="V16" s="262"/>
      <c r="W16" s="262"/>
      <c r="X16" s="148" t="str">
        <f t="shared" si="0"/>
        <v>FEL</v>
      </c>
      <c r="Y16" s="261">
        <v>20</v>
      </c>
      <c r="Z16" s="261">
        <v>10</v>
      </c>
      <c r="AA16" s="261">
        <v>50</v>
      </c>
      <c r="AB16" s="32" t="e">
        <f>(H16-G16)/(G16+J16+(F16*'Kalkylvärden 1'!$G$9/60))*100</f>
        <v>#DIV/0!</v>
      </c>
      <c r="AC16" s="60" t="e">
        <f t="shared" si="1"/>
        <v>#DIV/0!</v>
      </c>
      <c r="AD16" s="20" t="e">
        <f>('Kalkylvärden 1'!D$97+'Gods UA1'!Y16*('Kalkylvärden 1'!D$98*(1-'Gods UA1'!AA16/100)+'Kalkylvärden 1'!D$99*'Gods UA1'!AA16/100)+'Gods UA1'!Z16*('Kalkylvärden 1'!D$100*(1-'Gods UA1'!AA16/100)+'Kalkylvärden 1'!D$101*'Gods UA1'!AA16/100))*'Gods UA1'!D16/('Gods UA1'!D16+'Gods UA1'!E16)+('Kalkylvärden 1'!E$97+'Gods UA1'!Y16*('Kalkylvärden 1'!E$98*(1-'Gods UA1'!AA16/100)+'Kalkylvärden 1'!E$99*'Gods UA1'!AA16/100)+'Gods UA1'!Z16*('Kalkylvärden 1'!E$100*(1-'Gods UA1'!AA16/100)+'Kalkylvärden 1'!E$101*'Gods UA1'!AA16/100))*'Gods UA1'!E16/('Gods UA1'!D16+'Gods UA1'!E16)</f>
        <v>#DIV/0!</v>
      </c>
      <c r="AE16" s="20">
        <f>'Kalkylvärden 1'!D$103+'Gods UA1'!Y16*'Kalkylvärden 1'!D$104+'Gods UA1'!Z16*'Kalkylvärden 1'!D$105</f>
        <v>54.767843200000002</v>
      </c>
      <c r="AF16" s="34" t="e">
        <f t="shared" si="2"/>
        <v>#DIV/0!</v>
      </c>
      <c r="AG16" s="34" t="e">
        <f>(AE16*G16*60*2)+(F16*AE16*'Kalkylvärden 1'!$G$9*2)+(J16*'Kalkylvärden 1'!$G$10*'Kalkylvärden 1'!M$100)+('Gods UA1'!B16/'Gods UA1'!C16*'Gods UA1'!K16*'Kalkylvärden 1'!$D$11)</f>
        <v>#DIV/0!</v>
      </c>
      <c r="AH16" s="34" t="e">
        <f t="shared" si="3"/>
        <v>#DIV/0!</v>
      </c>
      <c r="AI16" s="34" t="e">
        <f t="shared" si="4"/>
        <v>#DIV/0!</v>
      </c>
      <c r="AJ16" s="20" t="e">
        <f>('Kalkylvärden 1'!D$97+'Gods UA1'!Y16*('Kalkylvärden 1'!D$98*(1-'Gods UA1'!AA16/100)+'Kalkylvärden 1'!D$99*'Gods UA1'!AA16/100)+'Gods UA1'!Z16*('Kalkylvärden 1'!D$100*(1-'Gods UA1'!AA16/100)+'Kalkylvärden 1'!D$101*'Gods UA1'!AA16/100))*'Gods UA1'!D16/('Gods UA1'!D16+'Gods UA1'!E16)+('Kalkylvärden 1'!E$97+'Gods UA1'!Y16*('Kalkylvärden 1'!E$98*(1-'Gods UA1'!AA16/100)+'Kalkylvärden 1'!E$99*'Gods UA1'!AA16/100)+'Gods UA1'!Z16*('Kalkylvärden 1'!E$100*(1-'Gods UA1'!AA16/100)+'Kalkylvärden 1'!E$101*'Gods UA1'!AA16/100))*'Gods UA1'!E16/('Gods UA1'!D16+'Gods UA1'!E16)</f>
        <v>#DIV/0!</v>
      </c>
      <c r="AK16" s="20">
        <f>'Kalkylvärden 1'!D$103+'Gods UA1'!Y16*'Kalkylvärden 1'!D$104+'Gods UA1'!Z16*'Kalkylvärden 1'!D$105</f>
        <v>54.767843200000002</v>
      </c>
      <c r="AL16" s="34" t="e">
        <f t="shared" si="5"/>
        <v>#DIV/0!</v>
      </c>
      <c r="AM16" s="34" t="e">
        <f>(AK16*H16*60*2)+(AK16*F16*'Kalkylvärden 1'!$G$9*2)+(J16*'Kalkylvärden 1'!$G$10*'Kalkylvärden 1'!M$100)+(B16/C16*K16*'Kalkylvärden 1'!$D$11)</f>
        <v>#DIV/0!</v>
      </c>
      <c r="AN16" s="34" t="e">
        <f t="shared" si="6"/>
        <v>#DIV/0!</v>
      </c>
      <c r="AO16" s="34" t="e">
        <f t="shared" si="7"/>
        <v>#DIV/0!</v>
      </c>
      <c r="AP16" s="34" t="e">
        <f t="shared" si="8"/>
        <v>#DIV/0!</v>
      </c>
      <c r="AQ16" s="34" t="e">
        <f t="shared" si="9"/>
        <v>#DIV/0!</v>
      </c>
      <c r="AR16" s="34" t="e">
        <f t="shared" si="10"/>
        <v>#DIV/0!</v>
      </c>
      <c r="AS16" s="34" t="s">
        <v>328</v>
      </c>
      <c r="AT16" s="34" t="e">
        <f t="shared" si="11"/>
        <v>#DIV/0!</v>
      </c>
      <c r="AU16" s="34" t="e">
        <f>(AG16*C16)/((B16*(G16+J16))+(B16*'Kalkylvärden 1'!$G$9/60*F16))</f>
        <v>#DIV/0!</v>
      </c>
      <c r="AV16" s="34" t="e">
        <f t="shared" si="12"/>
        <v>#DIV/0!</v>
      </c>
      <c r="AW16" s="34" t="e">
        <f>(AO16*C16)/((B16*(G16+J16))+(B16*'Kalkylvärden 1'!$G$9/60*F16))</f>
        <v>#DIV/0!</v>
      </c>
      <c r="AX16" s="34" t="e">
        <f>-AC16/100*'Kalkylvärden 1'!$B$23*'Gods UA1'!B16</f>
        <v>#DIV/0!</v>
      </c>
      <c r="AY16" s="34" t="e">
        <f t="shared" si="13"/>
        <v>#DIV/0!</v>
      </c>
      <c r="AZ16" s="34" t="e">
        <f t="shared" si="14"/>
        <v>#DIV/0!</v>
      </c>
      <c r="BA16" s="34" t="e">
        <f t="shared" si="15"/>
        <v>#DIV/0!</v>
      </c>
      <c r="BB16" s="34" t="e">
        <f t="shared" si="16"/>
        <v>#DIV/0!</v>
      </c>
      <c r="BC16" s="34" t="e">
        <f t="shared" si="17"/>
        <v>#DIV/0!</v>
      </c>
      <c r="BD16" s="34" t="e">
        <f t="shared" si="18"/>
        <v>#DIV/0!</v>
      </c>
      <c r="BE16" s="34" t="e">
        <f>IF(AX16&lt;0,((B16+AX16)*(G16-H16))*((L16/100*'Kalkylvärden 1'!B$195)+('Gods UA1'!M16/100*'Gods UA1'!B$168)+('Gods UA1'!N16/100*'Kalkylvärden 1'!B$197)+('Gods UA1'!O16*'Kalkylvärden 1'!B$198)+('Gods UA1'!P16/100*'Kalkylvärden 1'!B$199)+('Gods UA1'!Q16/100*'Kalkylvärden 1'!B$200)+('Gods UA1'!R16*'Kalkylvärden 1'!B$201)+('Gods UA1'!S16/100*'Kalkylvärden 1'!B$202)+('Gods UA1'!T16/100*'Kalkylvärden 1'!B$203)+('Gods UA1'!U16*'Kalkylvärden 1'!B$204)+('Gods UA1'!V16/100*'Kalkylvärden 1'!B$205)+('Gods UA1'!W16/100*'Kalkylvärden 1'!B$206)),(B16*(G16-H16))*((L16/100*'Kalkylvärden 1'!B$195)+('Gods UA1'!M16/100*'Kalkylvärden 1'!B$196)+('Gods UA1'!N16/100*'Kalkylvärden 1'!B$197)+('Gods UA1'!O16*'Kalkylvärden 1'!B$198)+('Gods UA1'!P16/100*'Kalkylvärden 1'!B$199)+('Gods UA1'!Q16/100*'Kalkylvärden 1'!B$200)+('Gods UA1'!R16/100*'Kalkylvärden 1'!B$201)+('Gods UA1'!S16/100*'Kalkylvärden 1'!B$202)+('Gods UA1'!T16/100*'Kalkylvärden 1'!B$203)+('Gods UA1'!U16/100*'Kalkylvärden 1'!B$204)+('Gods UA1'!V16/100*'Kalkylvärden 1'!B$205)+('Gods UA1'!W16/100*'Kalkylvärden 1'!B$206)))</f>
        <v>#DIV/0!</v>
      </c>
      <c r="BF16" s="34" t="e">
        <f>((ABS(AX16/2))*(G16-H16))*((L16/100*'Kalkylvärden 1'!B$195)+('Gods UA1'!M16/100*'Kalkylvärden 1'!B$196)+('Gods UA1'!N16/100*'Kalkylvärden 1'!B$197)+('Gods UA1'!O16/100*'Kalkylvärden 1'!B$198)+('Gods UA1'!P16/100*'Kalkylvärden 1'!B$199)+('Gods UA1'!Q16/100*'Kalkylvärden 1'!B$200)+('Gods UA1'!R16/100*'Kalkylvärden 1'!B$201)+('Gods UA1'!S16/100*'Kalkylvärden 1'!B$202)+('Gods UA1'!T16/100*'Kalkylvärden 1'!B$203)+('Gods UA1'!U16/100*'Kalkylvärden 1'!B$204)+('Gods UA1'!V16/100*'Kalkylvärden 1'!B$205)+('Gods UA1'!W16/100*'Kalkylvärden 1'!B$206))</f>
        <v>#DIV/0!</v>
      </c>
      <c r="BG16" s="34" t="e">
        <f t="shared" si="19"/>
        <v>#DIV/0!</v>
      </c>
      <c r="BH16" s="34" t="e">
        <f>(AX16*E16*'Kalkylvärden 1'!$E$188)</f>
        <v>#DIV/0!</v>
      </c>
      <c r="BI16" s="60" t="e">
        <f>AX16*(D16+E16)*'Kalkylvärden 1'!$E$184</f>
        <v>#DIV/0!</v>
      </c>
      <c r="BJ16" s="60" t="e">
        <f>(AX16*(D16+E16)*'Kalkylvärden 1'!$E$186)</f>
        <v>#DIV/0!</v>
      </c>
      <c r="BK16" s="60" t="e">
        <f>-AX16/Projektspecifikt!$B$7*(D16+E16)*'Kalkylvärden 1'!$E$180</f>
        <v>#DIV/0!</v>
      </c>
      <c r="BL16" s="60"/>
    </row>
    <row r="17" spans="1:64" x14ac:dyDescent="0.25">
      <c r="A17" s="58" t="s">
        <v>617</v>
      </c>
      <c r="B17" s="262"/>
      <c r="C17" s="262"/>
      <c r="D17" s="307"/>
      <c r="E17" s="307"/>
      <c r="F17" s="307"/>
      <c r="G17" s="307"/>
      <c r="H17" s="307"/>
      <c r="I17" s="307"/>
      <c r="J17" s="307"/>
      <c r="K17" s="307"/>
      <c r="L17" s="262"/>
      <c r="M17" s="262"/>
      <c r="N17" s="262"/>
      <c r="O17" s="262"/>
      <c r="P17" s="262"/>
      <c r="Q17" s="262"/>
      <c r="R17" s="262"/>
      <c r="S17" s="262"/>
      <c r="T17" s="262"/>
      <c r="U17" s="262"/>
      <c r="V17" s="262"/>
      <c r="W17" s="262"/>
      <c r="X17" s="148" t="str">
        <f t="shared" si="0"/>
        <v>FEL</v>
      </c>
      <c r="Y17" s="261">
        <v>20</v>
      </c>
      <c r="Z17" s="261">
        <v>10</v>
      </c>
      <c r="AA17" s="261">
        <v>50</v>
      </c>
      <c r="AB17" s="32" t="e">
        <f>(H17-G17)/(G17+J17+(F17*'Kalkylvärden 1'!$G$9/60))*100</f>
        <v>#DIV/0!</v>
      </c>
      <c r="AC17" s="60" t="e">
        <f t="shared" si="1"/>
        <v>#DIV/0!</v>
      </c>
      <c r="AD17" s="20" t="e">
        <f>('Kalkylvärden 1'!D$97+'Gods UA1'!Y17*('Kalkylvärden 1'!D$98*(1-'Gods UA1'!AA17/100)+'Kalkylvärden 1'!D$99*'Gods UA1'!AA17/100)+'Gods UA1'!Z17*('Kalkylvärden 1'!D$100*(1-'Gods UA1'!AA17/100)+'Kalkylvärden 1'!D$101*'Gods UA1'!AA17/100))*'Gods UA1'!D17/('Gods UA1'!D17+'Gods UA1'!E17)+('Kalkylvärden 1'!E$97+'Gods UA1'!Y17*('Kalkylvärden 1'!E$98*(1-'Gods UA1'!AA17/100)+'Kalkylvärden 1'!E$99*'Gods UA1'!AA17/100)+'Gods UA1'!Z17*('Kalkylvärden 1'!E$100*(1-'Gods UA1'!AA17/100)+'Kalkylvärden 1'!E$101*'Gods UA1'!AA17/100))*'Gods UA1'!E17/('Gods UA1'!D17+'Gods UA1'!E17)</f>
        <v>#DIV/0!</v>
      </c>
      <c r="AE17" s="20">
        <f>'Kalkylvärden 1'!D$103+'Gods UA1'!Y17*'Kalkylvärden 1'!D$104+'Gods UA1'!Z17*'Kalkylvärden 1'!D$105</f>
        <v>54.767843200000002</v>
      </c>
      <c r="AF17" s="34" t="e">
        <f t="shared" si="2"/>
        <v>#DIV/0!</v>
      </c>
      <c r="AG17" s="34" t="e">
        <f>(AE17*G17*60*2)+(F17*AE17*'Kalkylvärden 1'!$G$9*2)+(J17*'Kalkylvärden 1'!$G$10*'Kalkylvärden 1'!M$100)+('Gods UA1'!B17/'Gods UA1'!C17*'Gods UA1'!K17*'Kalkylvärden 1'!$D$11)</f>
        <v>#DIV/0!</v>
      </c>
      <c r="AH17" s="34" t="e">
        <f t="shared" si="3"/>
        <v>#DIV/0!</v>
      </c>
      <c r="AI17" s="34" t="e">
        <f t="shared" si="4"/>
        <v>#DIV/0!</v>
      </c>
      <c r="AJ17" s="20" t="e">
        <f>('Kalkylvärden 1'!D$97+'Gods UA1'!Y17*('Kalkylvärden 1'!D$98*(1-'Gods UA1'!AA17/100)+'Kalkylvärden 1'!D$99*'Gods UA1'!AA17/100)+'Gods UA1'!Z17*('Kalkylvärden 1'!D$100*(1-'Gods UA1'!AA17/100)+'Kalkylvärden 1'!D$101*'Gods UA1'!AA17/100))*'Gods UA1'!D17/('Gods UA1'!D17+'Gods UA1'!E17)+('Kalkylvärden 1'!E$97+'Gods UA1'!Y17*('Kalkylvärden 1'!E$98*(1-'Gods UA1'!AA17/100)+'Kalkylvärden 1'!E$99*'Gods UA1'!AA17/100)+'Gods UA1'!Z17*('Kalkylvärden 1'!E$100*(1-'Gods UA1'!AA17/100)+'Kalkylvärden 1'!E$101*'Gods UA1'!AA17/100))*'Gods UA1'!E17/('Gods UA1'!D17+'Gods UA1'!E17)</f>
        <v>#DIV/0!</v>
      </c>
      <c r="AK17" s="20">
        <f>'Kalkylvärden 1'!D$103+'Gods UA1'!Y17*'Kalkylvärden 1'!D$104+'Gods UA1'!Z17*'Kalkylvärden 1'!D$105</f>
        <v>54.767843200000002</v>
      </c>
      <c r="AL17" s="34" t="e">
        <f t="shared" si="5"/>
        <v>#DIV/0!</v>
      </c>
      <c r="AM17" s="34" t="e">
        <f>(AK17*H17*60*2)+(AK17*F17*'Kalkylvärden 1'!$G$9*2)+(J17*'Kalkylvärden 1'!$G$10*'Kalkylvärden 1'!M$100)+(B17/C17*K17*'Kalkylvärden 1'!$D$11)</f>
        <v>#DIV/0!</v>
      </c>
      <c r="AN17" s="34" t="e">
        <f t="shared" si="6"/>
        <v>#DIV/0!</v>
      </c>
      <c r="AO17" s="34" t="e">
        <f t="shared" si="7"/>
        <v>#DIV/0!</v>
      </c>
      <c r="AP17" s="34" t="e">
        <f t="shared" si="8"/>
        <v>#DIV/0!</v>
      </c>
      <c r="AQ17" s="34" t="e">
        <f t="shared" si="9"/>
        <v>#DIV/0!</v>
      </c>
      <c r="AR17" s="34" t="e">
        <f t="shared" si="10"/>
        <v>#DIV/0!</v>
      </c>
      <c r="AS17" s="34" t="s">
        <v>328</v>
      </c>
      <c r="AT17" s="34" t="e">
        <f t="shared" si="11"/>
        <v>#DIV/0!</v>
      </c>
      <c r="AU17" s="34" t="e">
        <f>(AG17*C17)/((B17*(G17+J17))+(B17*'Kalkylvärden 1'!$G$9/60*F17))</f>
        <v>#DIV/0!</v>
      </c>
      <c r="AV17" s="34" t="e">
        <f t="shared" si="12"/>
        <v>#DIV/0!</v>
      </c>
      <c r="AW17" s="34" t="e">
        <f>(AO17*C17)/((B17*(G17+J17))+(B17*'Kalkylvärden 1'!$G$9/60*F17))</f>
        <v>#DIV/0!</v>
      </c>
      <c r="AX17" s="34" t="e">
        <f>-AC17/100*'Kalkylvärden 1'!$B$23*'Gods UA1'!B17</f>
        <v>#DIV/0!</v>
      </c>
      <c r="AY17" s="34" t="e">
        <f t="shared" si="13"/>
        <v>#DIV/0!</v>
      </c>
      <c r="AZ17" s="34" t="e">
        <f t="shared" si="14"/>
        <v>#DIV/0!</v>
      </c>
      <c r="BA17" s="34" t="e">
        <f t="shared" si="15"/>
        <v>#DIV/0!</v>
      </c>
      <c r="BB17" s="34" t="e">
        <f t="shared" si="16"/>
        <v>#DIV/0!</v>
      </c>
      <c r="BC17" s="34" t="e">
        <f t="shared" si="17"/>
        <v>#DIV/0!</v>
      </c>
      <c r="BD17" s="34" t="e">
        <f t="shared" si="18"/>
        <v>#DIV/0!</v>
      </c>
      <c r="BE17" s="34" t="e">
        <f>IF(AX17&lt;0,((B17+AX17)*(G17-H17))*((L17/100*'Kalkylvärden 1'!B$195)+('Gods UA1'!M17/100*'Gods UA1'!B$168)+('Gods UA1'!N17/100*'Kalkylvärden 1'!B$197)+('Gods UA1'!O17*'Kalkylvärden 1'!B$198)+('Gods UA1'!P17/100*'Kalkylvärden 1'!B$199)+('Gods UA1'!Q17/100*'Kalkylvärden 1'!B$200)+('Gods UA1'!R17*'Kalkylvärden 1'!B$201)+('Gods UA1'!S17/100*'Kalkylvärden 1'!B$202)+('Gods UA1'!T17/100*'Kalkylvärden 1'!B$203)+('Gods UA1'!U17*'Kalkylvärden 1'!B$204)+('Gods UA1'!V17/100*'Kalkylvärden 1'!B$205)+('Gods UA1'!W17/100*'Kalkylvärden 1'!B$206)),(B17*(G17-H17))*((L17/100*'Kalkylvärden 1'!B$195)+('Gods UA1'!M17/100*'Kalkylvärden 1'!B$196)+('Gods UA1'!N17/100*'Kalkylvärden 1'!B$197)+('Gods UA1'!O17*'Kalkylvärden 1'!B$198)+('Gods UA1'!P17/100*'Kalkylvärden 1'!B$199)+('Gods UA1'!Q17/100*'Kalkylvärden 1'!B$200)+('Gods UA1'!R17/100*'Kalkylvärden 1'!B$201)+('Gods UA1'!S17/100*'Kalkylvärden 1'!B$202)+('Gods UA1'!T17/100*'Kalkylvärden 1'!B$203)+('Gods UA1'!U17/100*'Kalkylvärden 1'!B$204)+('Gods UA1'!V17/100*'Kalkylvärden 1'!B$205)+('Gods UA1'!W17/100*'Kalkylvärden 1'!B$206)))</f>
        <v>#DIV/0!</v>
      </c>
      <c r="BF17" s="34" t="e">
        <f>((ABS(AX17/2))*(G17-H17))*((L17/100*'Kalkylvärden 1'!B$195)+('Gods UA1'!M17/100*'Kalkylvärden 1'!B$196)+('Gods UA1'!N17/100*'Kalkylvärden 1'!B$197)+('Gods UA1'!O17/100*'Kalkylvärden 1'!B$198)+('Gods UA1'!P17/100*'Kalkylvärden 1'!B$199)+('Gods UA1'!Q17/100*'Kalkylvärden 1'!B$200)+('Gods UA1'!R17/100*'Kalkylvärden 1'!B$201)+('Gods UA1'!S17/100*'Kalkylvärden 1'!B$202)+('Gods UA1'!T17/100*'Kalkylvärden 1'!B$203)+('Gods UA1'!U17/100*'Kalkylvärden 1'!B$204)+('Gods UA1'!V17/100*'Kalkylvärden 1'!B$205)+('Gods UA1'!W17/100*'Kalkylvärden 1'!B$206))</f>
        <v>#DIV/0!</v>
      </c>
      <c r="BG17" s="34" t="e">
        <f t="shared" si="19"/>
        <v>#DIV/0!</v>
      </c>
      <c r="BH17" s="34" t="e">
        <f>(AX17*E17*'Kalkylvärden 1'!$E$188)</f>
        <v>#DIV/0!</v>
      </c>
      <c r="BI17" s="60" t="e">
        <f>AX17*(D17+E17)*'Kalkylvärden 1'!$E$184</f>
        <v>#DIV/0!</v>
      </c>
      <c r="BJ17" s="60" t="e">
        <f>(AX17*(D17+E17)*'Kalkylvärden 1'!$E$186)</f>
        <v>#DIV/0!</v>
      </c>
      <c r="BK17" s="60" t="e">
        <f>-AX17/Projektspecifikt!$B$7*(D17+E17)*'Kalkylvärden 1'!$E$180</f>
        <v>#DIV/0!</v>
      </c>
      <c r="BL17" s="60"/>
    </row>
    <row r="18" spans="1:64" x14ac:dyDescent="0.25">
      <c r="A18" s="58" t="s">
        <v>617</v>
      </c>
      <c r="B18" s="262"/>
      <c r="C18" s="262"/>
      <c r="D18" s="307"/>
      <c r="E18" s="307"/>
      <c r="F18" s="307"/>
      <c r="G18" s="307"/>
      <c r="H18" s="307"/>
      <c r="I18" s="307"/>
      <c r="J18" s="307"/>
      <c r="K18" s="307"/>
      <c r="L18" s="262"/>
      <c r="M18" s="262"/>
      <c r="N18" s="262"/>
      <c r="O18" s="262"/>
      <c r="P18" s="262"/>
      <c r="Q18" s="262"/>
      <c r="R18" s="262"/>
      <c r="S18" s="262"/>
      <c r="T18" s="262"/>
      <c r="U18" s="262"/>
      <c r="V18" s="262"/>
      <c r="W18" s="262"/>
      <c r="X18" s="148" t="str">
        <f t="shared" si="0"/>
        <v>FEL</v>
      </c>
      <c r="Y18" s="261">
        <v>20</v>
      </c>
      <c r="Z18" s="261">
        <v>10</v>
      </c>
      <c r="AA18" s="261">
        <v>50</v>
      </c>
      <c r="AB18" s="32" t="e">
        <f>(H18-G18)/(G18+J18+(F18*'Kalkylvärden 1'!$G$9/60))*100</f>
        <v>#DIV/0!</v>
      </c>
      <c r="AC18" s="60" t="e">
        <f t="shared" si="1"/>
        <v>#DIV/0!</v>
      </c>
      <c r="AD18" s="20" t="e">
        <f>('Kalkylvärden 1'!D$97+'Gods UA1'!Y18*('Kalkylvärden 1'!D$98*(1-'Gods UA1'!AA18/100)+'Kalkylvärden 1'!D$99*'Gods UA1'!AA18/100)+'Gods UA1'!Z18*('Kalkylvärden 1'!D$100*(1-'Gods UA1'!AA18/100)+'Kalkylvärden 1'!D$101*'Gods UA1'!AA18/100))*'Gods UA1'!D18/('Gods UA1'!D18+'Gods UA1'!E18)+('Kalkylvärden 1'!E$97+'Gods UA1'!Y18*('Kalkylvärden 1'!E$98*(1-'Gods UA1'!AA18/100)+'Kalkylvärden 1'!E$99*'Gods UA1'!AA18/100)+'Gods UA1'!Z18*('Kalkylvärden 1'!E$100*(1-'Gods UA1'!AA18/100)+'Kalkylvärden 1'!E$101*'Gods UA1'!AA18/100))*'Gods UA1'!E18/('Gods UA1'!D18+'Gods UA1'!E18)</f>
        <v>#DIV/0!</v>
      </c>
      <c r="AE18" s="20">
        <f>'Kalkylvärden 1'!D$103+'Gods UA1'!Y18*'Kalkylvärden 1'!D$104+'Gods UA1'!Z18*'Kalkylvärden 1'!D$105</f>
        <v>54.767843200000002</v>
      </c>
      <c r="AF18" s="34" t="e">
        <f t="shared" si="2"/>
        <v>#DIV/0!</v>
      </c>
      <c r="AG18" s="34" t="e">
        <f>(AE18*G18*60*2)+(F18*AE18*'Kalkylvärden 1'!$G$9*2)+(J18*'Kalkylvärden 1'!$G$10*'Kalkylvärden 1'!M$100)+('Gods UA1'!B18/'Gods UA1'!C18*'Gods UA1'!K18*'Kalkylvärden 1'!$D$11)</f>
        <v>#DIV/0!</v>
      </c>
      <c r="AH18" s="34" t="e">
        <f t="shared" si="3"/>
        <v>#DIV/0!</v>
      </c>
      <c r="AI18" s="34" t="e">
        <f t="shared" si="4"/>
        <v>#DIV/0!</v>
      </c>
      <c r="AJ18" s="20" t="e">
        <f>('Kalkylvärden 1'!D$97+'Gods UA1'!Y18*('Kalkylvärden 1'!D$98*(1-'Gods UA1'!AA18/100)+'Kalkylvärden 1'!D$99*'Gods UA1'!AA18/100)+'Gods UA1'!Z18*('Kalkylvärden 1'!D$100*(1-'Gods UA1'!AA18/100)+'Kalkylvärden 1'!D$101*'Gods UA1'!AA18/100))*'Gods UA1'!D18/('Gods UA1'!D18+'Gods UA1'!E18)+('Kalkylvärden 1'!E$97+'Gods UA1'!Y18*('Kalkylvärden 1'!E$98*(1-'Gods UA1'!AA18/100)+'Kalkylvärden 1'!E$99*'Gods UA1'!AA18/100)+'Gods UA1'!Z18*('Kalkylvärden 1'!E$100*(1-'Gods UA1'!AA18/100)+'Kalkylvärden 1'!E$101*'Gods UA1'!AA18/100))*'Gods UA1'!E18/('Gods UA1'!D18+'Gods UA1'!E18)</f>
        <v>#DIV/0!</v>
      </c>
      <c r="AK18" s="20">
        <f>'Kalkylvärden 1'!D$103+'Gods UA1'!Y18*'Kalkylvärden 1'!D$104+'Gods UA1'!Z18*'Kalkylvärden 1'!D$105</f>
        <v>54.767843200000002</v>
      </c>
      <c r="AL18" s="34" t="e">
        <f t="shared" si="5"/>
        <v>#DIV/0!</v>
      </c>
      <c r="AM18" s="34" t="e">
        <f>(AK18*H18*60*2)+(AK18*F18*'Kalkylvärden 1'!$G$9*2)+(J18*'Kalkylvärden 1'!$G$10*'Kalkylvärden 1'!M$100)+(B18/C18*K18*'Kalkylvärden 1'!$D$11)</f>
        <v>#DIV/0!</v>
      </c>
      <c r="AN18" s="34" t="e">
        <f t="shared" si="6"/>
        <v>#DIV/0!</v>
      </c>
      <c r="AO18" s="34" t="e">
        <f t="shared" si="7"/>
        <v>#DIV/0!</v>
      </c>
      <c r="AP18" s="34" t="e">
        <f t="shared" si="8"/>
        <v>#DIV/0!</v>
      </c>
      <c r="AQ18" s="34" t="e">
        <f t="shared" si="9"/>
        <v>#DIV/0!</v>
      </c>
      <c r="AR18" s="34" t="e">
        <f t="shared" si="10"/>
        <v>#DIV/0!</v>
      </c>
      <c r="AS18" s="34" t="s">
        <v>328</v>
      </c>
      <c r="AT18" s="34" t="e">
        <f t="shared" si="11"/>
        <v>#DIV/0!</v>
      </c>
      <c r="AU18" s="34" t="e">
        <f>(AG18*C18)/((B18*(G18+J18))+(B18*'Kalkylvärden 1'!$G$9/60*F18))</f>
        <v>#DIV/0!</v>
      </c>
      <c r="AV18" s="34" t="e">
        <f t="shared" si="12"/>
        <v>#DIV/0!</v>
      </c>
      <c r="AW18" s="34" t="e">
        <f>(AO18*C18)/((B18*(G18+J18))+(B18*'Kalkylvärden 1'!$G$9/60*F18))</f>
        <v>#DIV/0!</v>
      </c>
      <c r="AX18" s="34" t="e">
        <f>-AC18/100*'Kalkylvärden 1'!$B$23*'Gods UA1'!B18</f>
        <v>#DIV/0!</v>
      </c>
      <c r="AY18" s="34" t="e">
        <f t="shared" si="13"/>
        <v>#DIV/0!</v>
      </c>
      <c r="AZ18" s="34" t="e">
        <f t="shared" si="14"/>
        <v>#DIV/0!</v>
      </c>
      <c r="BA18" s="34" t="e">
        <f t="shared" si="15"/>
        <v>#DIV/0!</v>
      </c>
      <c r="BB18" s="34" t="e">
        <f t="shared" si="16"/>
        <v>#DIV/0!</v>
      </c>
      <c r="BC18" s="34" t="e">
        <f t="shared" si="17"/>
        <v>#DIV/0!</v>
      </c>
      <c r="BD18" s="34" t="e">
        <f t="shared" si="18"/>
        <v>#DIV/0!</v>
      </c>
      <c r="BE18" s="34" t="e">
        <f>IF(AX18&lt;0,((B18+AX18)*(G18-H18))*((L18/100*'Kalkylvärden 1'!B$195)+('Gods UA1'!M18/100*'Gods UA1'!B$168)+('Gods UA1'!N18/100*'Kalkylvärden 1'!B$197)+('Gods UA1'!O18*'Kalkylvärden 1'!B$198)+('Gods UA1'!P18/100*'Kalkylvärden 1'!B$199)+('Gods UA1'!Q18/100*'Kalkylvärden 1'!B$200)+('Gods UA1'!R18*'Kalkylvärden 1'!B$201)+('Gods UA1'!S18/100*'Kalkylvärden 1'!B$202)+('Gods UA1'!T18/100*'Kalkylvärden 1'!B$203)+('Gods UA1'!U18*'Kalkylvärden 1'!B$204)+('Gods UA1'!V18/100*'Kalkylvärden 1'!B$205)+('Gods UA1'!W18/100*'Kalkylvärden 1'!B$206)),(B18*(G18-H18))*((L18/100*'Kalkylvärden 1'!B$195)+('Gods UA1'!M18/100*'Kalkylvärden 1'!B$196)+('Gods UA1'!N18/100*'Kalkylvärden 1'!B$197)+('Gods UA1'!O18*'Kalkylvärden 1'!B$198)+('Gods UA1'!P18/100*'Kalkylvärden 1'!B$199)+('Gods UA1'!Q18/100*'Kalkylvärden 1'!B$200)+('Gods UA1'!R18/100*'Kalkylvärden 1'!B$201)+('Gods UA1'!S18/100*'Kalkylvärden 1'!B$202)+('Gods UA1'!T18/100*'Kalkylvärden 1'!B$203)+('Gods UA1'!U18/100*'Kalkylvärden 1'!B$204)+('Gods UA1'!V18/100*'Kalkylvärden 1'!B$205)+('Gods UA1'!W18/100*'Kalkylvärden 1'!B$206)))</f>
        <v>#DIV/0!</v>
      </c>
      <c r="BF18" s="34" t="e">
        <f>((ABS(AX18/2))*(G18-H18))*((L18/100*'Kalkylvärden 1'!B$195)+('Gods UA1'!M18/100*'Kalkylvärden 1'!B$196)+('Gods UA1'!N18/100*'Kalkylvärden 1'!B$197)+('Gods UA1'!O18/100*'Kalkylvärden 1'!B$198)+('Gods UA1'!P18/100*'Kalkylvärden 1'!B$199)+('Gods UA1'!Q18/100*'Kalkylvärden 1'!B$200)+('Gods UA1'!R18/100*'Kalkylvärden 1'!B$201)+('Gods UA1'!S18/100*'Kalkylvärden 1'!B$202)+('Gods UA1'!T18/100*'Kalkylvärden 1'!B$203)+('Gods UA1'!U18/100*'Kalkylvärden 1'!B$204)+('Gods UA1'!V18/100*'Kalkylvärden 1'!B$205)+('Gods UA1'!W18/100*'Kalkylvärden 1'!B$206))</f>
        <v>#DIV/0!</v>
      </c>
      <c r="BG18" s="34" t="e">
        <f t="shared" si="19"/>
        <v>#DIV/0!</v>
      </c>
      <c r="BH18" s="34" t="e">
        <f>(AX18*E18*'Kalkylvärden 1'!$E$188)</f>
        <v>#DIV/0!</v>
      </c>
      <c r="BI18" s="60" t="e">
        <f>AX18*(D18+E18)*'Kalkylvärden 1'!$E$184</f>
        <v>#DIV/0!</v>
      </c>
      <c r="BJ18" s="60" t="e">
        <f>(AX18*(D18+E18)*'Kalkylvärden 1'!$E$186)</f>
        <v>#DIV/0!</v>
      </c>
      <c r="BK18" s="60" t="e">
        <f>-AX18/Projektspecifikt!$B$7*(D18+E18)*'Kalkylvärden 1'!$E$180</f>
        <v>#DIV/0!</v>
      </c>
      <c r="BL18" s="60"/>
    </row>
    <row r="19" spans="1:64" x14ac:dyDescent="0.25">
      <c r="A19" s="58" t="s">
        <v>617</v>
      </c>
      <c r="B19" s="262"/>
      <c r="C19" s="262"/>
      <c r="D19" s="307"/>
      <c r="E19" s="307"/>
      <c r="F19" s="307"/>
      <c r="G19" s="307"/>
      <c r="H19" s="307"/>
      <c r="I19" s="307"/>
      <c r="J19" s="307"/>
      <c r="K19" s="307"/>
      <c r="L19" s="262"/>
      <c r="M19" s="262"/>
      <c r="N19" s="262"/>
      <c r="O19" s="262"/>
      <c r="P19" s="262"/>
      <c r="Q19" s="262"/>
      <c r="R19" s="262"/>
      <c r="S19" s="262"/>
      <c r="T19" s="262"/>
      <c r="U19" s="262"/>
      <c r="V19" s="262"/>
      <c r="W19" s="262"/>
      <c r="X19" s="148" t="str">
        <f t="shared" si="0"/>
        <v>FEL</v>
      </c>
      <c r="Y19" s="261">
        <v>20</v>
      </c>
      <c r="Z19" s="261">
        <v>10</v>
      </c>
      <c r="AA19" s="261">
        <v>50</v>
      </c>
      <c r="AB19" s="32" t="e">
        <f>(H19-G19)/(G19+J19+(F19*'Kalkylvärden 1'!$G$9/60))*100</f>
        <v>#DIV/0!</v>
      </c>
      <c r="AC19" s="60" t="e">
        <f t="shared" si="1"/>
        <v>#DIV/0!</v>
      </c>
      <c r="AD19" s="20" t="e">
        <f>('Kalkylvärden 1'!D$97+'Gods UA1'!Y19*('Kalkylvärden 1'!D$98*(1-'Gods UA1'!AA19/100)+'Kalkylvärden 1'!D$99*'Gods UA1'!AA19/100)+'Gods UA1'!Z19*('Kalkylvärden 1'!D$100*(1-'Gods UA1'!AA19/100)+'Kalkylvärden 1'!D$101*'Gods UA1'!AA19/100))*'Gods UA1'!D19/('Gods UA1'!D19+'Gods UA1'!E19)+('Kalkylvärden 1'!E$97+'Gods UA1'!Y19*('Kalkylvärden 1'!E$98*(1-'Gods UA1'!AA19/100)+'Kalkylvärden 1'!E$99*'Gods UA1'!AA19/100)+'Gods UA1'!Z19*('Kalkylvärden 1'!E$100*(1-'Gods UA1'!AA19/100)+'Kalkylvärden 1'!E$101*'Gods UA1'!AA19/100))*'Gods UA1'!E19/('Gods UA1'!D19+'Gods UA1'!E19)</f>
        <v>#DIV/0!</v>
      </c>
      <c r="AE19" s="20">
        <f>'Kalkylvärden 1'!D$103+'Gods UA1'!Y19*'Kalkylvärden 1'!D$104+'Gods UA1'!Z19*'Kalkylvärden 1'!D$105</f>
        <v>54.767843200000002</v>
      </c>
      <c r="AF19" s="34" t="e">
        <f t="shared" si="2"/>
        <v>#DIV/0!</v>
      </c>
      <c r="AG19" s="34" t="e">
        <f>(AE19*G19*60*2)+(F19*AE19*'Kalkylvärden 1'!$G$9*2)+(J19*'Kalkylvärden 1'!$G$10*'Kalkylvärden 1'!M$100)+('Gods UA1'!B19/'Gods UA1'!C19*'Gods UA1'!K19*'Kalkylvärden 1'!$D$11)</f>
        <v>#DIV/0!</v>
      </c>
      <c r="AH19" s="34" t="e">
        <f t="shared" si="3"/>
        <v>#DIV/0!</v>
      </c>
      <c r="AI19" s="34" t="e">
        <f t="shared" si="4"/>
        <v>#DIV/0!</v>
      </c>
      <c r="AJ19" s="20" t="e">
        <f>('Kalkylvärden 1'!D$97+'Gods UA1'!Y19*('Kalkylvärden 1'!D$98*(1-'Gods UA1'!AA19/100)+'Kalkylvärden 1'!D$99*'Gods UA1'!AA19/100)+'Gods UA1'!Z19*('Kalkylvärden 1'!D$100*(1-'Gods UA1'!AA19/100)+'Kalkylvärden 1'!D$101*'Gods UA1'!AA19/100))*'Gods UA1'!D19/('Gods UA1'!D19+'Gods UA1'!E19)+('Kalkylvärden 1'!E$97+'Gods UA1'!Y19*('Kalkylvärden 1'!E$98*(1-'Gods UA1'!AA19/100)+'Kalkylvärden 1'!E$99*'Gods UA1'!AA19/100)+'Gods UA1'!Z19*('Kalkylvärden 1'!E$100*(1-'Gods UA1'!AA19/100)+'Kalkylvärden 1'!E$101*'Gods UA1'!AA19/100))*'Gods UA1'!E19/('Gods UA1'!D19+'Gods UA1'!E19)</f>
        <v>#DIV/0!</v>
      </c>
      <c r="AK19" s="20">
        <f>'Kalkylvärden 1'!D$103+'Gods UA1'!Y19*'Kalkylvärden 1'!D$104+'Gods UA1'!Z19*'Kalkylvärden 1'!D$105</f>
        <v>54.767843200000002</v>
      </c>
      <c r="AL19" s="34" t="e">
        <f t="shared" si="5"/>
        <v>#DIV/0!</v>
      </c>
      <c r="AM19" s="34" t="e">
        <f>(AK19*H19*60*2)+(AK19*F19*'Kalkylvärden 1'!$G$9*2)+(J19*'Kalkylvärden 1'!$G$10*'Kalkylvärden 1'!M$100)+(B19/C19*K19*'Kalkylvärden 1'!$D$11)</f>
        <v>#DIV/0!</v>
      </c>
      <c r="AN19" s="34" t="e">
        <f t="shared" si="6"/>
        <v>#DIV/0!</v>
      </c>
      <c r="AO19" s="34" t="e">
        <f t="shared" si="7"/>
        <v>#DIV/0!</v>
      </c>
      <c r="AP19" s="34" t="e">
        <f t="shared" si="8"/>
        <v>#DIV/0!</v>
      </c>
      <c r="AQ19" s="34" t="e">
        <f t="shared" si="9"/>
        <v>#DIV/0!</v>
      </c>
      <c r="AR19" s="34" t="e">
        <f t="shared" si="10"/>
        <v>#DIV/0!</v>
      </c>
      <c r="AS19" s="34" t="s">
        <v>328</v>
      </c>
      <c r="AT19" s="34" t="e">
        <f t="shared" si="11"/>
        <v>#DIV/0!</v>
      </c>
      <c r="AU19" s="34" t="e">
        <f>(AG19*C19)/((B19*(G19+J19))+(B19*'Kalkylvärden 1'!$G$9/60*F19))</f>
        <v>#DIV/0!</v>
      </c>
      <c r="AV19" s="34" t="e">
        <f t="shared" si="12"/>
        <v>#DIV/0!</v>
      </c>
      <c r="AW19" s="34" t="e">
        <f>(AO19*C19)/((B19*(G19+J19))+(B19*'Kalkylvärden 1'!$G$9/60*F19))</f>
        <v>#DIV/0!</v>
      </c>
      <c r="AX19" s="34" t="e">
        <f>-AC19/100*'Kalkylvärden 1'!$B$23*'Gods UA1'!B19</f>
        <v>#DIV/0!</v>
      </c>
      <c r="AY19" s="34" t="e">
        <f t="shared" si="13"/>
        <v>#DIV/0!</v>
      </c>
      <c r="AZ19" s="34" t="e">
        <f t="shared" si="14"/>
        <v>#DIV/0!</v>
      </c>
      <c r="BA19" s="34" t="e">
        <f t="shared" si="15"/>
        <v>#DIV/0!</v>
      </c>
      <c r="BB19" s="34" t="e">
        <f t="shared" si="16"/>
        <v>#DIV/0!</v>
      </c>
      <c r="BC19" s="34" t="e">
        <f t="shared" si="17"/>
        <v>#DIV/0!</v>
      </c>
      <c r="BD19" s="34" t="e">
        <f t="shared" si="18"/>
        <v>#DIV/0!</v>
      </c>
      <c r="BE19" s="34" t="e">
        <f>IF(AX19&lt;0,((B19+AX19)*(G19-H19))*((L19/100*'Kalkylvärden 1'!B$195)+('Gods UA1'!M19/100*'Gods UA1'!B$168)+('Gods UA1'!N19/100*'Kalkylvärden 1'!B$197)+('Gods UA1'!O19*'Kalkylvärden 1'!B$198)+('Gods UA1'!P19/100*'Kalkylvärden 1'!B$199)+('Gods UA1'!Q19/100*'Kalkylvärden 1'!B$200)+('Gods UA1'!R19*'Kalkylvärden 1'!B$201)+('Gods UA1'!S19/100*'Kalkylvärden 1'!B$202)+('Gods UA1'!T19/100*'Kalkylvärden 1'!B$203)+('Gods UA1'!U19*'Kalkylvärden 1'!B$204)+('Gods UA1'!V19/100*'Kalkylvärden 1'!B$205)+('Gods UA1'!W19/100*'Kalkylvärden 1'!B$206)),(B19*(G19-H19))*((L19/100*'Kalkylvärden 1'!B$195)+('Gods UA1'!M19/100*'Kalkylvärden 1'!B$196)+('Gods UA1'!N19/100*'Kalkylvärden 1'!B$197)+('Gods UA1'!O19*'Kalkylvärden 1'!B$198)+('Gods UA1'!P19/100*'Kalkylvärden 1'!B$199)+('Gods UA1'!Q19/100*'Kalkylvärden 1'!B$200)+('Gods UA1'!R19/100*'Kalkylvärden 1'!B$201)+('Gods UA1'!S19/100*'Kalkylvärden 1'!B$202)+('Gods UA1'!T19/100*'Kalkylvärden 1'!B$203)+('Gods UA1'!U19/100*'Kalkylvärden 1'!B$204)+('Gods UA1'!V19/100*'Kalkylvärden 1'!B$205)+('Gods UA1'!W19/100*'Kalkylvärden 1'!B$206)))</f>
        <v>#DIV/0!</v>
      </c>
      <c r="BF19" s="34" t="e">
        <f>((ABS(AX19/2))*(G19-H19))*((L19/100*'Kalkylvärden 1'!B$195)+('Gods UA1'!M19/100*'Kalkylvärden 1'!B$196)+('Gods UA1'!N19/100*'Kalkylvärden 1'!B$197)+('Gods UA1'!O19/100*'Kalkylvärden 1'!B$198)+('Gods UA1'!P19/100*'Kalkylvärden 1'!B$199)+('Gods UA1'!Q19/100*'Kalkylvärden 1'!B$200)+('Gods UA1'!R19/100*'Kalkylvärden 1'!B$201)+('Gods UA1'!S19/100*'Kalkylvärden 1'!B$202)+('Gods UA1'!T19/100*'Kalkylvärden 1'!B$203)+('Gods UA1'!U19/100*'Kalkylvärden 1'!B$204)+('Gods UA1'!V19/100*'Kalkylvärden 1'!B$205)+('Gods UA1'!W19/100*'Kalkylvärden 1'!B$206))</f>
        <v>#DIV/0!</v>
      </c>
      <c r="BG19" s="34" t="e">
        <f t="shared" si="19"/>
        <v>#DIV/0!</v>
      </c>
      <c r="BH19" s="34" t="e">
        <f>(AX19*E19*'Kalkylvärden 1'!$E$188)</f>
        <v>#DIV/0!</v>
      </c>
      <c r="BI19" s="60" t="e">
        <f>AX19*(D19+E19)*'Kalkylvärden 1'!$E$184</f>
        <v>#DIV/0!</v>
      </c>
      <c r="BJ19" s="60" t="e">
        <f>(AX19*(D19+E19)*'Kalkylvärden 1'!$E$186)</f>
        <v>#DIV/0!</v>
      </c>
      <c r="BK19" s="60" t="e">
        <f>-AX19/Projektspecifikt!$B$7*(D19+E19)*'Kalkylvärden 1'!$E$180</f>
        <v>#DIV/0!</v>
      </c>
      <c r="BL19" s="60"/>
    </row>
    <row r="20" spans="1:64" x14ac:dyDescent="0.25">
      <c r="A20" s="58" t="s">
        <v>617</v>
      </c>
      <c r="B20" s="262"/>
      <c r="C20" s="262"/>
      <c r="D20" s="307"/>
      <c r="E20" s="307"/>
      <c r="F20" s="307"/>
      <c r="G20" s="307"/>
      <c r="H20" s="307"/>
      <c r="I20" s="307"/>
      <c r="J20" s="307"/>
      <c r="K20" s="307"/>
      <c r="L20" s="262"/>
      <c r="M20" s="262"/>
      <c r="N20" s="262"/>
      <c r="O20" s="262"/>
      <c r="P20" s="262"/>
      <c r="Q20" s="262"/>
      <c r="R20" s="262"/>
      <c r="S20" s="262"/>
      <c r="T20" s="262"/>
      <c r="U20" s="262"/>
      <c r="V20" s="262"/>
      <c r="W20" s="262"/>
      <c r="X20" s="148" t="str">
        <f t="shared" si="0"/>
        <v>FEL</v>
      </c>
      <c r="Y20" s="261">
        <v>20</v>
      </c>
      <c r="Z20" s="261">
        <v>10</v>
      </c>
      <c r="AA20" s="261">
        <v>50</v>
      </c>
      <c r="AB20" s="32" t="e">
        <f>(H20-G20)/(G20+J20+(F20*'Kalkylvärden 1'!$G$9/60))*100</f>
        <v>#DIV/0!</v>
      </c>
      <c r="AC20" s="60" t="e">
        <f t="shared" si="1"/>
        <v>#DIV/0!</v>
      </c>
      <c r="AD20" s="20" t="e">
        <f>('Kalkylvärden 1'!D$97+'Gods UA1'!Y20*('Kalkylvärden 1'!D$98*(1-'Gods UA1'!AA20/100)+'Kalkylvärden 1'!D$99*'Gods UA1'!AA20/100)+'Gods UA1'!Z20*('Kalkylvärden 1'!D$100*(1-'Gods UA1'!AA20/100)+'Kalkylvärden 1'!D$101*'Gods UA1'!AA20/100))*'Gods UA1'!D20/('Gods UA1'!D20+'Gods UA1'!E20)+('Kalkylvärden 1'!E$97+'Gods UA1'!Y20*('Kalkylvärden 1'!E$98*(1-'Gods UA1'!AA20/100)+'Kalkylvärden 1'!E$99*'Gods UA1'!AA20/100)+'Gods UA1'!Z20*('Kalkylvärden 1'!E$100*(1-'Gods UA1'!AA20/100)+'Kalkylvärden 1'!E$101*'Gods UA1'!AA20/100))*'Gods UA1'!E20/('Gods UA1'!D20+'Gods UA1'!E20)</f>
        <v>#DIV/0!</v>
      </c>
      <c r="AE20" s="20">
        <f>'Kalkylvärden 1'!D$103+'Gods UA1'!Y20*'Kalkylvärden 1'!D$104+'Gods UA1'!Z20*'Kalkylvärden 1'!D$105</f>
        <v>54.767843200000002</v>
      </c>
      <c r="AF20" s="34" t="e">
        <f t="shared" si="2"/>
        <v>#DIV/0!</v>
      </c>
      <c r="AG20" s="34" t="e">
        <f>(AE20*G20*60*2)+(F20*AE20*'Kalkylvärden 1'!$G$9*2)+(J20*'Kalkylvärden 1'!$G$10*'Kalkylvärden 1'!M$100)+('Gods UA1'!B20/'Gods UA1'!C20*'Gods UA1'!K20*'Kalkylvärden 1'!$D$11)</f>
        <v>#DIV/0!</v>
      </c>
      <c r="AH20" s="34" t="e">
        <f t="shared" si="3"/>
        <v>#DIV/0!</v>
      </c>
      <c r="AI20" s="34" t="e">
        <f t="shared" si="4"/>
        <v>#DIV/0!</v>
      </c>
      <c r="AJ20" s="20" t="e">
        <f>('Kalkylvärden 1'!D$97+'Gods UA1'!Y20*('Kalkylvärden 1'!D$98*(1-'Gods UA1'!AA20/100)+'Kalkylvärden 1'!D$99*'Gods UA1'!AA20/100)+'Gods UA1'!Z20*('Kalkylvärden 1'!D$100*(1-'Gods UA1'!AA20/100)+'Kalkylvärden 1'!D$101*'Gods UA1'!AA20/100))*'Gods UA1'!D20/('Gods UA1'!D20+'Gods UA1'!E20)+('Kalkylvärden 1'!E$97+'Gods UA1'!Y20*('Kalkylvärden 1'!E$98*(1-'Gods UA1'!AA20/100)+'Kalkylvärden 1'!E$99*'Gods UA1'!AA20/100)+'Gods UA1'!Z20*('Kalkylvärden 1'!E$100*(1-'Gods UA1'!AA20/100)+'Kalkylvärden 1'!E$101*'Gods UA1'!AA20/100))*'Gods UA1'!E20/('Gods UA1'!D20+'Gods UA1'!E20)</f>
        <v>#DIV/0!</v>
      </c>
      <c r="AK20" s="20">
        <f>'Kalkylvärden 1'!D$103+'Gods UA1'!Y20*'Kalkylvärden 1'!D$104+'Gods UA1'!Z20*'Kalkylvärden 1'!D$105</f>
        <v>54.767843200000002</v>
      </c>
      <c r="AL20" s="34" t="e">
        <f t="shared" si="5"/>
        <v>#DIV/0!</v>
      </c>
      <c r="AM20" s="34" t="e">
        <f>(AK20*H20*60*2)+(AK20*F20*'Kalkylvärden 1'!$G$9*2)+(J20*'Kalkylvärden 1'!$G$10*'Kalkylvärden 1'!M$100)+(B20/C20*K20*'Kalkylvärden 1'!$D$11)</f>
        <v>#DIV/0!</v>
      </c>
      <c r="AN20" s="34" t="e">
        <f t="shared" si="6"/>
        <v>#DIV/0!</v>
      </c>
      <c r="AO20" s="34" t="e">
        <f t="shared" si="7"/>
        <v>#DIV/0!</v>
      </c>
      <c r="AP20" s="34" t="e">
        <f t="shared" si="8"/>
        <v>#DIV/0!</v>
      </c>
      <c r="AQ20" s="34" t="e">
        <f t="shared" si="9"/>
        <v>#DIV/0!</v>
      </c>
      <c r="AR20" s="34" t="e">
        <f t="shared" si="10"/>
        <v>#DIV/0!</v>
      </c>
      <c r="AS20" s="34" t="s">
        <v>328</v>
      </c>
      <c r="AT20" s="34" t="e">
        <f t="shared" si="11"/>
        <v>#DIV/0!</v>
      </c>
      <c r="AU20" s="34" t="e">
        <f>(AG20*C20)/((B20*(G20+J20))+(B20*'Kalkylvärden 1'!$G$9/60*F20))</f>
        <v>#DIV/0!</v>
      </c>
      <c r="AV20" s="34" t="e">
        <f t="shared" si="12"/>
        <v>#DIV/0!</v>
      </c>
      <c r="AW20" s="34" t="e">
        <f>(AO20*C20)/((B20*(G20+J20))+(B20*'Kalkylvärden 1'!$G$9/60*F20))</f>
        <v>#DIV/0!</v>
      </c>
      <c r="AX20" s="34" t="e">
        <f>-AC20/100*'Kalkylvärden 1'!$B$23*'Gods UA1'!B20</f>
        <v>#DIV/0!</v>
      </c>
      <c r="AY20" s="34" t="e">
        <f t="shared" si="13"/>
        <v>#DIV/0!</v>
      </c>
      <c r="AZ20" s="34" t="e">
        <f t="shared" si="14"/>
        <v>#DIV/0!</v>
      </c>
      <c r="BA20" s="34" t="e">
        <f t="shared" si="15"/>
        <v>#DIV/0!</v>
      </c>
      <c r="BB20" s="34" t="e">
        <f t="shared" si="16"/>
        <v>#DIV/0!</v>
      </c>
      <c r="BC20" s="34" t="e">
        <f t="shared" si="17"/>
        <v>#DIV/0!</v>
      </c>
      <c r="BD20" s="34" t="e">
        <f t="shared" si="18"/>
        <v>#DIV/0!</v>
      </c>
      <c r="BE20" s="34" t="e">
        <f>IF(AX20&lt;0,((B20+AX20)*(G20-H20))*((L20/100*'Kalkylvärden 1'!B$195)+('Gods UA1'!M20/100*'Gods UA1'!B$168)+('Gods UA1'!N20/100*'Kalkylvärden 1'!B$197)+('Gods UA1'!O20*'Kalkylvärden 1'!B$198)+('Gods UA1'!P20/100*'Kalkylvärden 1'!B$199)+('Gods UA1'!Q20/100*'Kalkylvärden 1'!B$200)+('Gods UA1'!R20*'Kalkylvärden 1'!B$201)+('Gods UA1'!S20/100*'Kalkylvärden 1'!B$202)+('Gods UA1'!T20/100*'Kalkylvärden 1'!B$203)+('Gods UA1'!U20*'Kalkylvärden 1'!B$204)+('Gods UA1'!V20/100*'Kalkylvärden 1'!B$205)+('Gods UA1'!W20/100*'Kalkylvärden 1'!B$206)),(B20*(G20-H20))*((L20/100*'Kalkylvärden 1'!B$195)+('Gods UA1'!M20/100*'Kalkylvärden 1'!B$196)+('Gods UA1'!N20/100*'Kalkylvärden 1'!B$197)+('Gods UA1'!O20*'Kalkylvärden 1'!B$198)+('Gods UA1'!P20/100*'Kalkylvärden 1'!B$199)+('Gods UA1'!Q20/100*'Kalkylvärden 1'!B$200)+('Gods UA1'!R20/100*'Kalkylvärden 1'!B$201)+('Gods UA1'!S20/100*'Kalkylvärden 1'!B$202)+('Gods UA1'!T20/100*'Kalkylvärden 1'!B$203)+('Gods UA1'!U20/100*'Kalkylvärden 1'!B$204)+('Gods UA1'!V20/100*'Kalkylvärden 1'!B$205)+('Gods UA1'!W20/100*'Kalkylvärden 1'!B$206)))</f>
        <v>#DIV/0!</v>
      </c>
      <c r="BF20" s="34" t="e">
        <f>((ABS(AX20/2))*(G20-H20))*((L20/100*'Kalkylvärden 1'!B$195)+('Gods UA1'!M20/100*'Kalkylvärden 1'!B$196)+('Gods UA1'!N20/100*'Kalkylvärden 1'!B$197)+('Gods UA1'!O20/100*'Kalkylvärden 1'!B$198)+('Gods UA1'!P20/100*'Kalkylvärden 1'!B$199)+('Gods UA1'!Q20/100*'Kalkylvärden 1'!B$200)+('Gods UA1'!R20/100*'Kalkylvärden 1'!B$201)+('Gods UA1'!S20/100*'Kalkylvärden 1'!B$202)+('Gods UA1'!T20/100*'Kalkylvärden 1'!B$203)+('Gods UA1'!U20/100*'Kalkylvärden 1'!B$204)+('Gods UA1'!V20/100*'Kalkylvärden 1'!B$205)+('Gods UA1'!W20/100*'Kalkylvärden 1'!B$206))</f>
        <v>#DIV/0!</v>
      </c>
      <c r="BG20" s="34" t="e">
        <f t="shared" si="19"/>
        <v>#DIV/0!</v>
      </c>
      <c r="BH20" s="34" t="e">
        <f>(AX20*E20*'Kalkylvärden 1'!$E$188)</f>
        <v>#DIV/0!</v>
      </c>
      <c r="BI20" s="60" t="e">
        <f>AX20*(D20+E20)*'Kalkylvärden 1'!$E$184</f>
        <v>#DIV/0!</v>
      </c>
      <c r="BJ20" s="60" t="e">
        <f>(AX20*(D20+E20)*'Kalkylvärden 1'!$E$186)</f>
        <v>#DIV/0!</v>
      </c>
      <c r="BK20" s="60" t="e">
        <f>-AX20/Projektspecifikt!$B$7*(D20+E20)*'Kalkylvärden 1'!$E$180</f>
        <v>#DIV/0!</v>
      </c>
      <c r="BL20" s="60"/>
    </row>
    <row r="21" spans="1:64" x14ac:dyDescent="0.25">
      <c r="A21" s="58" t="s">
        <v>617</v>
      </c>
      <c r="B21" s="262"/>
      <c r="C21" s="262"/>
      <c r="D21" s="307"/>
      <c r="E21" s="307"/>
      <c r="F21" s="307"/>
      <c r="G21" s="307"/>
      <c r="H21" s="307"/>
      <c r="I21" s="307"/>
      <c r="J21" s="307"/>
      <c r="K21" s="307"/>
      <c r="L21" s="262"/>
      <c r="M21" s="262"/>
      <c r="N21" s="262"/>
      <c r="O21" s="262"/>
      <c r="P21" s="262"/>
      <c r="Q21" s="262"/>
      <c r="R21" s="262"/>
      <c r="S21" s="262"/>
      <c r="T21" s="262"/>
      <c r="U21" s="262"/>
      <c r="V21" s="262"/>
      <c r="W21" s="262"/>
      <c r="X21" s="148" t="str">
        <f t="shared" si="0"/>
        <v>FEL</v>
      </c>
      <c r="Y21" s="261">
        <v>20</v>
      </c>
      <c r="Z21" s="261">
        <v>10</v>
      </c>
      <c r="AA21" s="261">
        <v>50</v>
      </c>
      <c r="AB21" s="32" t="e">
        <f>(H21-G21)/(G21+J21+(F21*'Kalkylvärden 1'!$G$9/60))*100</f>
        <v>#DIV/0!</v>
      </c>
      <c r="AC21" s="60" t="e">
        <f t="shared" si="1"/>
        <v>#DIV/0!</v>
      </c>
      <c r="AD21" s="20" t="e">
        <f>('Kalkylvärden 1'!D$97+'Gods UA1'!Y21*('Kalkylvärden 1'!D$98*(1-'Gods UA1'!AA21/100)+'Kalkylvärden 1'!D$99*'Gods UA1'!AA21/100)+'Gods UA1'!Z21*('Kalkylvärden 1'!D$100*(1-'Gods UA1'!AA21/100)+'Kalkylvärden 1'!D$101*'Gods UA1'!AA21/100))*'Gods UA1'!D21/('Gods UA1'!D21+'Gods UA1'!E21)+('Kalkylvärden 1'!E$97+'Gods UA1'!Y21*('Kalkylvärden 1'!E$98*(1-'Gods UA1'!AA21/100)+'Kalkylvärden 1'!E$99*'Gods UA1'!AA21/100)+'Gods UA1'!Z21*('Kalkylvärden 1'!E$100*(1-'Gods UA1'!AA21/100)+'Kalkylvärden 1'!E$101*'Gods UA1'!AA21/100))*'Gods UA1'!E21/('Gods UA1'!D21+'Gods UA1'!E21)</f>
        <v>#DIV/0!</v>
      </c>
      <c r="AE21" s="20">
        <f>'Kalkylvärden 1'!D$103+'Gods UA1'!Y21*'Kalkylvärden 1'!D$104+'Gods UA1'!Z21*'Kalkylvärden 1'!D$105</f>
        <v>54.767843200000002</v>
      </c>
      <c r="AF21" s="34" t="e">
        <f t="shared" si="2"/>
        <v>#DIV/0!</v>
      </c>
      <c r="AG21" s="34" t="e">
        <f>(AE21*G21*60*2)+(F21*AE21*'Kalkylvärden 1'!$G$9*2)+(J21*'Kalkylvärden 1'!$G$10*'Kalkylvärden 1'!M$100)+('Gods UA1'!B21/'Gods UA1'!C21*'Gods UA1'!K21*'Kalkylvärden 1'!$D$11)</f>
        <v>#DIV/0!</v>
      </c>
      <c r="AH21" s="34" t="e">
        <f t="shared" si="3"/>
        <v>#DIV/0!</v>
      </c>
      <c r="AI21" s="34" t="e">
        <f t="shared" si="4"/>
        <v>#DIV/0!</v>
      </c>
      <c r="AJ21" s="20" t="e">
        <f>('Kalkylvärden 1'!D$97+'Gods UA1'!Y21*('Kalkylvärden 1'!D$98*(1-'Gods UA1'!AA21/100)+'Kalkylvärden 1'!D$99*'Gods UA1'!AA21/100)+'Gods UA1'!Z21*('Kalkylvärden 1'!D$100*(1-'Gods UA1'!AA21/100)+'Kalkylvärden 1'!D$101*'Gods UA1'!AA21/100))*'Gods UA1'!D21/('Gods UA1'!D21+'Gods UA1'!E21)+('Kalkylvärden 1'!E$97+'Gods UA1'!Y21*('Kalkylvärden 1'!E$98*(1-'Gods UA1'!AA21/100)+'Kalkylvärden 1'!E$99*'Gods UA1'!AA21/100)+'Gods UA1'!Z21*('Kalkylvärden 1'!E$100*(1-'Gods UA1'!AA21/100)+'Kalkylvärden 1'!E$101*'Gods UA1'!AA21/100))*'Gods UA1'!E21/('Gods UA1'!D21+'Gods UA1'!E21)</f>
        <v>#DIV/0!</v>
      </c>
      <c r="AK21" s="20">
        <f>'Kalkylvärden 1'!D$103+'Gods UA1'!Y21*'Kalkylvärden 1'!D$104+'Gods UA1'!Z21*'Kalkylvärden 1'!D$105</f>
        <v>54.767843200000002</v>
      </c>
      <c r="AL21" s="34" t="e">
        <f t="shared" si="5"/>
        <v>#DIV/0!</v>
      </c>
      <c r="AM21" s="34" t="e">
        <f>(AK21*H21*60*2)+(AK21*F21*'Kalkylvärden 1'!$G$9*2)+(J21*'Kalkylvärden 1'!$G$10*'Kalkylvärden 1'!M$100)+(B21/C21*K21*'Kalkylvärden 1'!$D$11)</f>
        <v>#DIV/0!</v>
      </c>
      <c r="AN21" s="34" t="e">
        <f t="shared" si="6"/>
        <v>#DIV/0!</v>
      </c>
      <c r="AO21" s="34" t="e">
        <f t="shared" si="7"/>
        <v>#DIV/0!</v>
      </c>
      <c r="AP21" s="34" t="e">
        <f t="shared" si="8"/>
        <v>#DIV/0!</v>
      </c>
      <c r="AQ21" s="34" t="e">
        <f t="shared" si="9"/>
        <v>#DIV/0!</v>
      </c>
      <c r="AR21" s="34" t="e">
        <f t="shared" si="10"/>
        <v>#DIV/0!</v>
      </c>
      <c r="AS21" s="34" t="s">
        <v>328</v>
      </c>
      <c r="AT21" s="34" t="e">
        <f t="shared" si="11"/>
        <v>#DIV/0!</v>
      </c>
      <c r="AU21" s="34" t="e">
        <f>(AG21*C21)/((B21*(G21+J21))+(B21*'Kalkylvärden 1'!$G$9/60*F21))</f>
        <v>#DIV/0!</v>
      </c>
      <c r="AV21" s="34" t="e">
        <f t="shared" si="12"/>
        <v>#DIV/0!</v>
      </c>
      <c r="AW21" s="34" t="e">
        <f>(AO21*C21)/((B21*(G21+J21))+(B21*'Kalkylvärden 1'!$G$9/60*F21))</f>
        <v>#DIV/0!</v>
      </c>
      <c r="AX21" s="34" t="e">
        <f>-AC21/100*'Kalkylvärden 1'!$B$23*'Gods UA1'!B21</f>
        <v>#DIV/0!</v>
      </c>
      <c r="AY21" s="34" t="e">
        <f t="shared" si="13"/>
        <v>#DIV/0!</v>
      </c>
      <c r="AZ21" s="34" t="e">
        <f t="shared" si="14"/>
        <v>#DIV/0!</v>
      </c>
      <c r="BA21" s="34" t="e">
        <f t="shared" si="15"/>
        <v>#DIV/0!</v>
      </c>
      <c r="BB21" s="34" t="e">
        <f t="shared" si="16"/>
        <v>#DIV/0!</v>
      </c>
      <c r="BC21" s="34" t="e">
        <f t="shared" si="17"/>
        <v>#DIV/0!</v>
      </c>
      <c r="BD21" s="34" t="e">
        <f t="shared" si="18"/>
        <v>#DIV/0!</v>
      </c>
      <c r="BE21" s="34" t="e">
        <f>IF(AX21&lt;0,((B21+AX21)*(G21-H21))*((L21/100*'Kalkylvärden 1'!B$195)+('Gods UA1'!M21/100*'Gods UA1'!B$168)+('Gods UA1'!N21/100*'Kalkylvärden 1'!B$197)+('Gods UA1'!O21*'Kalkylvärden 1'!B$198)+('Gods UA1'!P21/100*'Kalkylvärden 1'!B$199)+('Gods UA1'!Q21/100*'Kalkylvärden 1'!B$200)+('Gods UA1'!R21*'Kalkylvärden 1'!B$201)+('Gods UA1'!S21/100*'Kalkylvärden 1'!B$202)+('Gods UA1'!T21/100*'Kalkylvärden 1'!B$203)+('Gods UA1'!U21*'Kalkylvärden 1'!B$204)+('Gods UA1'!V21/100*'Kalkylvärden 1'!B$205)+('Gods UA1'!W21/100*'Kalkylvärden 1'!B$206)),(B21*(G21-H21))*((L21/100*'Kalkylvärden 1'!B$195)+('Gods UA1'!M21/100*'Kalkylvärden 1'!B$196)+('Gods UA1'!N21/100*'Kalkylvärden 1'!B$197)+('Gods UA1'!O21*'Kalkylvärden 1'!B$198)+('Gods UA1'!P21/100*'Kalkylvärden 1'!B$199)+('Gods UA1'!Q21/100*'Kalkylvärden 1'!B$200)+('Gods UA1'!R21/100*'Kalkylvärden 1'!B$201)+('Gods UA1'!S21/100*'Kalkylvärden 1'!B$202)+('Gods UA1'!T21/100*'Kalkylvärden 1'!B$203)+('Gods UA1'!U21/100*'Kalkylvärden 1'!B$204)+('Gods UA1'!V21/100*'Kalkylvärden 1'!B$205)+('Gods UA1'!W21/100*'Kalkylvärden 1'!B$206)))</f>
        <v>#DIV/0!</v>
      </c>
      <c r="BF21" s="34" t="e">
        <f>((ABS(AX21/2))*(G21-H21))*((L21/100*'Kalkylvärden 1'!B$195)+('Gods UA1'!M21/100*'Kalkylvärden 1'!B$196)+('Gods UA1'!N21/100*'Kalkylvärden 1'!B$197)+('Gods UA1'!O21/100*'Kalkylvärden 1'!B$198)+('Gods UA1'!P21/100*'Kalkylvärden 1'!B$199)+('Gods UA1'!Q21/100*'Kalkylvärden 1'!B$200)+('Gods UA1'!R21/100*'Kalkylvärden 1'!B$201)+('Gods UA1'!S21/100*'Kalkylvärden 1'!B$202)+('Gods UA1'!T21/100*'Kalkylvärden 1'!B$203)+('Gods UA1'!U21/100*'Kalkylvärden 1'!B$204)+('Gods UA1'!V21/100*'Kalkylvärden 1'!B$205)+('Gods UA1'!W21/100*'Kalkylvärden 1'!B$206))</f>
        <v>#DIV/0!</v>
      </c>
      <c r="BG21" s="34" t="e">
        <f t="shared" si="19"/>
        <v>#DIV/0!</v>
      </c>
      <c r="BH21" s="34" t="e">
        <f>(AX21*E21*'Kalkylvärden 1'!$E$188)</f>
        <v>#DIV/0!</v>
      </c>
      <c r="BI21" s="60" t="e">
        <f>AX21*(D21+E21)*'Kalkylvärden 1'!$E$184</f>
        <v>#DIV/0!</v>
      </c>
      <c r="BJ21" s="60" t="e">
        <f>(AX21*(D21+E21)*'Kalkylvärden 1'!$E$186)</f>
        <v>#DIV/0!</v>
      </c>
      <c r="BK21" s="60" t="e">
        <f>-AX21/Projektspecifikt!$B$7*(D21+E21)*'Kalkylvärden 1'!$E$180</f>
        <v>#DIV/0!</v>
      </c>
      <c r="BL21" s="60"/>
    </row>
    <row r="22" spans="1:64" x14ac:dyDescent="0.25">
      <c r="A22" s="58" t="s">
        <v>617</v>
      </c>
      <c r="B22" s="262"/>
      <c r="C22" s="262"/>
      <c r="D22" s="307"/>
      <c r="E22" s="307"/>
      <c r="F22" s="307"/>
      <c r="G22" s="307"/>
      <c r="H22" s="307"/>
      <c r="I22" s="307"/>
      <c r="J22" s="307"/>
      <c r="K22" s="307"/>
      <c r="L22" s="262"/>
      <c r="M22" s="262"/>
      <c r="N22" s="262"/>
      <c r="O22" s="262"/>
      <c r="P22" s="262"/>
      <c r="Q22" s="262"/>
      <c r="R22" s="262"/>
      <c r="S22" s="262"/>
      <c r="T22" s="262"/>
      <c r="U22" s="262"/>
      <c r="V22" s="262"/>
      <c r="W22" s="262"/>
      <c r="X22" s="148" t="str">
        <f t="shared" si="0"/>
        <v>FEL</v>
      </c>
      <c r="Y22" s="261">
        <v>20</v>
      </c>
      <c r="Z22" s="261">
        <v>10</v>
      </c>
      <c r="AA22" s="261">
        <v>50</v>
      </c>
      <c r="AB22" s="32" t="e">
        <f>(H22-G22)/(G22+J22+(F22*'Kalkylvärden 1'!$G$9/60))*100</f>
        <v>#DIV/0!</v>
      </c>
      <c r="AC22" s="60" t="e">
        <f t="shared" si="1"/>
        <v>#DIV/0!</v>
      </c>
      <c r="AD22" s="20" t="e">
        <f>('Kalkylvärden 1'!D$97+'Gods UA1'!Y22*('Kalkylvärden 1'!D$98*(1-'Gods UA1'!AA22/100)+'Kalkylvärden 1'!D$99*'Gods UA1'!AA22/100)+'Gods UA1'!Z22*('Kalkylvärden 1'!D$100*(1-'Gods UA1'!AA22/100)+'Kalkylvärden 1'!D$101*'Gods UA1'!AA22/100))*'Gods UA1'!D22/('Gods UA1'!D22+'Gods UA1'!E22)+('Kalkylvärden 1'!E$97+'Gods UA1'!Y22*('Kalkylvärden 1'!E$98*(1-'Gods UA1'!AA22/100)+'Kalkylvärden 1'!E$99*'Gods UA1'!AA22/100)+'Gods UA1'!Z22*('Kalkylvärden 1'!E$100*(1-'Gods UA1'!AA22/100)+'Kalkylvärden 1'!E$101*'Gods UA1'!AA22/100))*'Gods UA1'!E22/('Gods UA1'!D22+'Gods UA1'!E22)</f>
        <v>#DIV/0!</v>
      </c>
      <c r="AE22" s="20">
        <f>'Kalkylvärden 1'!D$103+'Gods UA1'!Y22*'Kalkylvärden 1'!D$104+'Gods UA1'!Z22*'Kalkylvärden 1'!D$105</f>
        <v>54.767843200000002</v>
      </c>
      <c r="AF22" s="34" t="e">
        <f t="shared" si="2"/>
        <v>#DIV/0!</v>
      </c>
      <c r="AG22" s="34" t="e">
        <f>(AE22*G22*60*2)+(F22*AE22*'Kalkylvärden 1'!$G$9*2)+(J22*'Kalkylvärden 1'!$G$10*'Kalkylvärden 1'!M$100)+('Gods UA1'!B22/'Gods UA1'!C22*'Gods UA1'!K22*'Kalkylvärden 1'!$D$11)</f>
        <v>#DIV/0!</v>
      </c>
      <c r="AH22" s="34" t="e">
        <f t="shared" si="3"/>
        <v>#DIV/0!</v>
      </c>
      <c r="AI22" s="34" t="e">
        <f t="shared" si="4"/>
        <v>#DIV/0!</v>
      </c>
      <c r="AJ22" s="20" t="e">
        <f>('Kalkylvärden 1'!D$97+'Gods UA1'!Y22*('Kalkylvärden 1'!D$98*(1-'Gods UA1'!AA22/100)+'Kalkylvärden 1'!D$99*'Gods UA1'!AA22/100)+'Gods UA1'!Z22*('Kalkylvärden 1'!D$100*(1-'Gods UA1'!AA22/100)+'Kalkylvärden 1'!D$101*'Gods UA1'!AA22/100))*'Gods UA1'!D22/('Gods UA1'!D22+'Gods UA1'!E22)+('Kalkylvärden 1'!E$97+'Gods UA1'!Y22*('Kalkylvärden 1'!E$98*(1-'Gods UA1'!AA22/100)+'Kalkylvärden 1'!E$99*'Gods UA1'!AA22/100)+'Gods UA1'!Z22*('Kalkylvärden 1'!E$100*(1-'Gods UA1'!AA22/100)+'Kalkylvärden 1'!E$101*'Gods UA1'!AA22/100))*'Gods UA1'!E22/('Gods UA1'!D22+'Gods UA1'!E22)</f>
        <v>#DIV/0!</v>
      </c>
      <c r="AK22" s="20">
        <f>'Kalkylvärden 1'!D$103+'Gods UA1'!Y22*'Kalkylvärden 1'!D$104+'Gods UA1'!Z22*'Kalkylvärden 1'!D$105</f>
        <v>54.767843200000002</v>
      </c>
      <c r="AL22" s="34" t="e">
        <f t="shared" si="5"/>
        <v>#DIV/0!</v>
      </c>
      <c r="AM22" s="34" t="e">
        <f>(AK22*H22*60*2)+(AK22*F22*'Kalkylvärden 1'!$G$9*2)+(J22*'Kalkylvärden 1'!$G$10*'Kalkylvärden 1'!M$100)+(B22/C22*K22*'Kalkylvärden 1'!$D$11)</f>
        <v>#DIV/0!</v>
      </c>
      <c r="AN22" s="34" t="e">
        <f t="shared" si="6"/>
        <v>#DIV/0!</v>
      </c>
      <c r="AO22" s="34" t="e">
        <f t="shared" si="7"/>
        <v>#DIV/0!</v>
      </c>
      <c r="AP22" s="34" t="e">
        <f t="shared" si="8"/>
        <v>#DIV/0!</v>
      </c>
      <c r="AQ22" s="34" t="e">
        <f t="shared" si="9"/>
        <v>#DIV/0!</v>
      </c>
      <c r="AR22" s="34" t="e">
        <f t="shared" si="10"/>
        <v>#DIV/0!</v>
      </c>
      <c r="AS22" s="34" t="s">
        <v>328</v>
      </c>
      <c r="AT22" s="34" t="e">
        <f t="shared" si="11"/>
        <v>#DIV/0!</v>
      </c>
      <c r="AU22" s="34" t="e">
        <f>(AG22*C22)/((B22*(G22+J22))+(B22*'Kalkylvärden 1'!$G$9/60*F22))</f>
        <v>#DIV/0!</v>
      </c>
      <c r="AV22" s="34" t="e">
        <f t="shared" si="12"/>
        <v>#DIV/0!</v>
      </c>
      <c r="AW22" s="34" t="e">
        <f>(AO22*C22)/((B22*(G22+J22))+(B22*'Kalkylvärden 1'!$G$9/60*F22))</f>
        <v>#DIV/0!</v>
      </c>
      <c r="AX22" s="34" t="e">
        <f>-AC22/100*'Kalkylvärden 1'!$B$23*'Gods UA1'!B22</f>
        <v>#DIV/0!</v>
      </c>
      <c r="AY22" s="34" t="e">
        <f t="shared" si="13"/>
        <v>#DIV/0!</v>
      </c>
      <c r="AZ22" s="34" t="e">
        <f t="shared" si="14"/>
        <v>#DIV/0!</v>
      </c>
      <c r="BA22" s="34" t="e">
        <f t="shared" si="15"/>
        <v>#DIV/0!</v>
      </c>
      <c r="BB22" s="34" t="e">
        <f t="shared" si="16"/>
        <v>#DIV/0!</v>
      </c>
      <c r="BC22" s="34" t="e">
        <f t="shared" si="17"/>
        <v>#DIV/0!</v>
      </c>
      <c r="BD22" s="34" t="e">
        <f t="shared" si="18"/>
        <v>#DIV/0!</v>
      </c>
      <c r="BE22" s="34" t="e">
        <f>IF(AX22&lt;0,((B22+AX22)*(G22-H22))*((L22/100*'Kalkylvärden 1'!B$195)+('Gods UA1'!M22/100*'Gods UA1'!B$168)+('Gods UA1'!N22/100*'Kalkylvärden 1'!B$197)+('Gods UA1'!O22*'Kalkylvärden 1'!B$198)+('Gods UA1'!P22/100*'Kalkylvärden 1'!B$199)+('Gods UA1'!Q22/100*'Kalkylvärden 1'!B$200)+('Gods UA1'!R22*'Kalkylvärden 1'!B$201)+('Gods UA1'!S22/100*'Kalkylvärden 1'!B$202)+('Gods UA1'!T22/100*'Kalkylvärden 1'!B$203)+('Gods UA1'!U22*'Kalkylvärden 1'!B$204)+('Gods UA1'!V22/100*'Kalkylvärden 1'!B$205)+('Gods UA1'!W22/100*'Kalkylvärden 1'!B$206)),(B22*(G22-H22))*((L22/100*'Kalkylvärden 1'!B$195)+('Gods UA1'!M22/100*'Kalkylvärden 1'!B$196)+('Gods UA1'!N22/100*'Kalkylvärden 1'!B$197)+('Gods UA1'!O22*'Kalkylvärden 1'!B$198)+('Gods UA1'!P22/100*'Kalkylvärden 1'!B$199)+('Gods UA1'!Q22/100*'Kalkylvärden 1'!B$200)+('Gods UA1'!R22/100*'Kalkylvärden 1'!B$201)+('Gods UA1'!S22/100*'Kalkylvärden 1'!B$202)+('Gods UA1'!T22/100*'Kalkylvärden 1'!B$203)+('Gods UA1'!U22/100*'Kalkylvärden 1'!B$204)+('Gods UA1'!V22/100*'Kalkylvärden 1'!B$205)+('Gods UA1'!W22/100*'Kalkylvärden 1'!B$206)))</f>
        <v>#DIV/0!</v>
      </c>
      <c r="BF22" s="34" t="e">
        <f>((ABS(AX22/2))*(G22-H22))*((L22/100*'Kalkylvärden 1'!B$195)+('Gods UA1'!M22/100*'Kalkylvärden 1'!B$196)+('Gods UA1'!N22/100*'Kalkylvärden 1'!B$197)+('Gods UA1'!O22/100*'Kalkylvärden 1'!B$198)+('Gods UA1'!P22/100*'Kalkylvärden 1'!B$199)+('Gods UA1'!Q22/100*'Kalkylvärden 1'!B$200)+('Gods UA1'!R22/100*'Kalkylvärden 1'!B$201)+('Gods UA1'!S22/100*'Kalkylvärden 1'!B$202)+('Gods UA1'!T22/100*'Kalkylvärden 1'!B$203)+('Gods UA1'!U22/100*'Kalkylvärden 1'!B$204)+('Gods UA1'!V22/100*'Kalkylvärden 1'!B$205)+('Gods UA1'!W22/100*'Kalkylvärden 1'!B$206))</f>
        <v>#DIV/0!</v>
      </c>
      <c r="BG22" s="34" t="e">
        <f t="shared" si="19"/>
        <v>#DIV/0!</v>
      </c>
      <c r="BH22" s="34" t="e">
        <f>(AX22*E22*'Kalkylvärden 1'!$E$188)</f>
        <v>#DIV/0!</v>
      </c>
      <c r="BI22" s="60" t="e">
        <f>AX22*(D22+E22)*'Kalkylvärden 1'!$E$184</f>
        <v>#DIV/0!</v>
      </c>
      <c r="BJ22" s="60" t="e">
        <f>(AX22*(D22+E22)*'Kalkylvärden 1'!$E$186)</f>
        <v>#DIV/0!</v>
      </c>
      <c r="BK22" s="60" t="e">
        <f>-AX22/Projektspecifikt!$B$7*(D22+E22)*'Kalkylvärden 1'!$E$180</f>
        <v>#DIV/0!</v>
      </c>
      <c r="BL22" s="60"/>
    </row>
    <row r="23" spans="1:64" x14ac:dyDescent="0.25">
      <c r="A23" s="58" t="s">
        <v>617</v>
      </c>
      <c r="B23" s="262"/>
      <c r="C23" s="262"/>
      <c r="D23" s="307"/>
      <c r="E23" s="307"/>
      <c r="F23" s="307"/>
      <c r="G23" s="307"/>
      <c r="H23" s="307"/>
      <c r="I23" s="307"/>
      <c r="J23" s="307"/>
      <c r="K23" s="307"/>
      <c r="L23" s="262"/>
      <c r="M23" s="262"/>
      <c r="N23" s="262"/>
      <c r="O23" s="262"/>
      <c r="P23" s="262"/>
      <c r="Q23" s="262"/>
      <c r="R23" s="262"/>
      <c r="S23" s="262"/>
      <c r="T23" s="262"/>
      <c r="U23" s="262"/>
      <c r="V23" s="262"/>
      <c r="W23" s="262"/>
      <c r="X23" s="148" t="str">
        <f t="shared" si="0"/>
        <v>FEL</v>
      </c>
      <c r="Y23" s="261">
        <v>20</v>
      </c>
      <c r="Z23" s="261">
        <v>10</v>
      </c>
      <c r="AA23" s="261">
        <v>50</v>
      </c>
      <c r="AB23" s="32" t="e">
        <f>(H23-G23)/(G23+J23+(F23*'Kalkylvärden 1'!$G$9/60))*100</f>
        <v>#DIV/0!</v>
      </c>
      <c r="AC23" s="60" t="e">
        <f t="shared" si="1"/>
        <v>#DIV/0!</v>
      </c>
      <c r="AD23" s="20" t="e">
        <f>('Kalkylvärden 1'!D$97+'Gods UA1'!Y23*('Kalkylvärden 1'!D$98*(1-'Gods UA1'!AA23/100)+'Kalkylvärden 1'!D$99*'Gods UA1'!AA23/100)+'Gods UA1'!Z23*('Kalkylvärden 1'!D$100*(1-'Gods UA1'!AA23/100)+'Kalkylvärden 1'!D$101*'Gods UA1'!AA23/100))*'Gods UA1'!D23/('Gods UA1'!D23+'Gods UA1'!E23)+('Kalkylvärden 1'!E$97+'Gods UA1'!Y23*('Kalkylvärden 1'!E$98*(1-'Gods UA1'!AA23/100)+'Kalkylvärden 1'!E$99*'Gods UA1'!AA23/100)+'Gods UA1'!Z23*('Kalkylvärden 1'!E$100*(1-'Gods UA1'!AA23/100)+'Kalkylvärden 1'!E$101*'Gods UA1'!AA23/100))*'Gods UA1'!E23/('Gods UA1'!D23+'Gods UA1'!E23)</f>
        <v>#DIV/0!</v>
      </c>
      <c r="AE23" s="20">
        <f>'Kalkylvärden 1'!D$103+'Gods UA1'!Y23*'Kalkylvärden 1'!D$104+'Gods UA1'!Z23*'Kalkylvärden 1'!D$105</f>
        <v>54.767843200000002</v>
      </c>
      <c r="AF23" s="34" t="e">
        <f t="shared" si="2"/>
        <v>#DIV/0!</v>
      </c>
      <c r="AG23" s="34" t="e">
        <f>(AE23*G23*60*2)+(F23*AE23*'Kalkylvärden 1'!$G$9*2)+(J23*'Kalkylvärden 1'!$G$10*'Kalkylvärden 1'!M$100)+('Gods UA1'!B23/'Gods UA1'!C23*'Gods UA1'!K23*'Kalkylvärden 1'!$D$11)</f>
        <v>#DIV/0!</v>
      </c>
      <c r="AH23" s="34" t="e">
        <f t="shared" si="3"/>
        <v>#DIV/0!</v>
      </c>
      <c r="AI23" s="34" t="e">
        <f t="shared" si="4"/>
        <v>#DIV/0!</v>
      </c>
      <c r="AJ23" s="20" t="e">
        <f>('Kalkylvärden 1'!D$97+'Gods UA1'!Y23*('Kalkylvärden 1'!D$98*(1-'Gods UA1'!AA23/100)+'Kalkylvärden 1'!D$99*'Gods UA1'!AA23/100)+'Gods UA1'!Z23*('Kalkylvärden 1'!D$100*(1-'Gods UA1'!AA23/100)+'Kalkylvärden 1'!D$101*'Gods UA1'!AA23/100))*'Gods UA1'!D23/('Gods UA1'!D23+'Gods UA1'!E23)+('Kalkylvärden 1'!E$97+'Gods UA1'!Y23*('Kalkylvärden 1'!E$98*(1-'Gods UA1'!AA23/100)+'Kalkylvärden 1'!E$99*'Gods UA1'!AA23/100)+'Gods UA1'!Z23*('Kalkylvärden 1'!E$100*(1-'Gods UA1'!AA23/100)+'Kalkylvärden 1'!E$101*'Gods UA1'!AA23/100))*'Gods UA1'!E23/('Gods UA1'!D23+'Gods UA1'!E23)</f>
        <v>#DIV/0!</v>
      </c>
      <c r="AK23" s="20">
        <f>'Kalkylvärden 1'!D$103+'Gods UA1'!Y23*'Kalkylvärden 1'!D$104+'Gods UA1'!Z23*'Kalkylvärden 1'!D$105</f>
        <v>54.767843200000002</v>
      </c>
      <c r="AL23" s="34" t="e">
        <f t="shared" si="5"/>
        <v>#DIV/0!</v>
      </c>
      <c r="AM23" s="34" t="e">
        <f>(AK23*H23*60*2)+(AK23*F23*'Kalkylvärden 1'!$G$9*2)+(J23*'Kalkylvärden 1'!$G$10*'Kalkylvärden 1'!M$100)+(B23/C23*K23*'Kalkylvärden 1'!$D$11)</f>
        <v>#DIV/0!</v>
      </c>
      <c r="AN23" s="34" t="e">
        <f t="shared" si="6"/>
        <v>#DIV/0!</v>
      </c>
      <c r="AO23" s="34" t="e">
        <f t="shared" si="7"/>
        <v>#DIV/0!</v>
      </c>
      <c r="AP23" s="34" t="e">
        <f t="shared" si="8"/>
        <v>#DIV/0!</v>
      </c>
      <c r="AQ23" s="34" t="e">
        <f t="shared" si="9"/>
        <v>#DIV/0!</v>
      </c>
      <c r="AR23" s="34" t="e">
        <f t="shared" si="10"/>
        <v>#DIV/0!</v>
      </c>
      <c r="AS23" s="34" t="s">
        <v>328</v>
      </c>
      <c r="AT23" s="34" t="e">
        <f t="shared" si="11"/>
        <v>#DIV/0!</v>
      </c>
      <c r="AU23" s="34" t="e">
        <f>(AG23*C23)/((B23*(G23+J23))+(B23*'Kalkylvärden 1'!$G$9/60*F23))</f>
        <v>#DIV/0!</v>
      </c>
      <c r="AV23" s="34" t="e">
        <f t="shared" si="12"/>
        <v>#DIV/0!</v>
      </c>
      <c r="AW23" s="34" t="e">
        <f>(AO23*C23)/((B23*(G23+J23))+(B23*'Kalkylvärden 1'!$G$9/60*F23))</f>
        <v>#DIV/0!</v>
      </c>
      <c r="AX23" s="34" t="e">
        <f>-AC23/100*'Kalkylvärden 1'!$B$23*'Gods UA1'!B23</f>
        <v>#DIV/0!</v>
      </c>
      <c r="AY23" s="34" t="e">
        <f t="shared" si="13"/>
        <v>#DIV/0!</v>
      </c>
      <c r="AZ23" s="34" t="e">
        <f t="shared" si="14"/>
        <v>#DIV/0!</v>
      </c>
      <c r="BA23" s="34" t="e">
        <f t="shared" si="15"/>
        <v>#DIV/0!</v>
      </c>
      <c r="BB23" s="34" t="e">
        <f t="shared" si="16"/>
        <v>#DIV/0!</v>
      </c>
      <c r="BC23" s="34" t="e">
        <f t="shared" si="17"/>
        <v>#DIV/0!</v>
      </c>
      <c r="BD23" s="34" t="e">
        <f t="shared" si="18"/>
        <v>#DIV/0!</v>
      </c>
      <c r="BE23" s="34" t="e">
        <f>IF(AX23&lt;0,((B23+AX23)*(G23-H23))*((L23/100*'Kalkylvärden 1'!B$195)+('Gods UA1'!M23/100*'Gods UA1'!B$168)+('Gods UA1'!N23/100*'Kalkylvärden 1'!B$197)+('Gods UA1'!O23*'Kalkylvärden 1'!B$198)+('Gods UA1'!P23/100*'Kalkylvärden 1'!B$199)+('Gods UA1'!Q23/100*'Kalkylvärden 1'!B$200)+('Gods UA1'!R23*'Kalkylvärden 1'!B$201)+('Gods UA1'!S23/100*'Kalkylvärden 1'!B$202)+('Gods UA1'!T23/100*'Kalkylvärden 1'!B$203)+('Gods UA1'!U23*'Kalkylvärden 1'!B$204)+('Gods UA1'!V23/100*'Kalkylvärden 1'!B$205)+('Gods UA1'!W23/100*'Kalkylvärden 1'!B$206)),(B23*(G23-H23))*((L23/100*'Kalkylvärden 1'!B$195)+('Gods UA1'!M23/100*'Kalkylvärden 1'!B$196)+('Gods UA1'!N23/100*'Kalkylvärden 1'!B$197)+('Gods UA1'!O23*'Kalkylvärden 1'!B$198)+('Gods UA1'!P23/100*'Kalkylvärden 1'!B$199)+('Gods UA1'!Q23/100*'Kalkylvärden 1'!B$200)+('Gods UA1'!R23/100*'Kalkylvärden 1'!B$201)+('Gods UA1'!S23/100*'Kalkylvärden 1'!B$202)+('Gods UA1'!T23/100*'Kalkylvärden 1'!B$203)+('Gods UA1'!U23/100*'Kalkylvärden 1'!B$204)+('Gods UA1'!V23/100*'Kalkylvärden 1'!B$205)+('Gods UA1'!W23/100*'Kalkylvärden 1'!B$206)))</f>
        <v>#DIV/0!</v>
      </c>
      <c r="BF23" s="34" t="e">
        <f>((ABS(AX23/2))*(G23-H23))*((L23/100*'Kalkylvärden 1'!B$195)+('Gods UA1'!M23/100*'Kalkylvärden 1'!B$196)+('Gods UA1'!N23/100*'Kalkylvärden 1'!B$197)+('Gods UA1'!O23/100*'Kalkylvärden 1'!B$198)+('Gods UA1'!P23/100*'Kalkylvärden 1'!B$199)+('Gods UA1'!Q23/100*'Kalkylvärden 1'!B$200)+('Gods UA1'!R23/100*'Kalkylvärden 1'!B$201)+('Gods UA1'!S23/100*'Kalkylvärden 1'!B$202)+('Gods UA1'!T23/100*'Kalkylvärden 1'!B$203)+('Gods UA1'!U23/100*'Kalkylvärden 1'!B$204)+('Gods UA1'!V23/100*'Kalkylvärden 1'!B$205)+('Gods UA1'!W23/100*'Kalkylvärden 1'!B$206))</f>
        <v>#DIV/0!</v>
      </c>
      <c r="BG23" s="34" t="e">
        <f t="shared" si="19"/>
        <v>#DIV/0!</v>
      </c>
      <c r="BH23" s="34" t="e">
        <f>(AX23*E23*'Kalkylvärden 1'!$E$188)</f>
        <v>#DIV/0!</v>
      </c>
      <c r="BI23" s="60" t="e">
        <f>AX23*(D23+E23)*'Kalkylvärden 1'!$E$184</f>
        <v>#DIV/0!</v>
      </c>
      <c r="BJ23" s="60" t="e">
        <f>(AX23*(D23+E23)*'Kalkylvärden 1'!$E$186)</f>
        <v>#DIV/0!</v>
      </c>
      <c r="BK23" s="60" t="e">
        <f>-AX23/Projektspecifikt!$B$7*(D23+E23)*'Kalkylvärden 1'!$E$180</f>
        <v>#DIV/0!</v>
      </c>
      <c r="BL23" s="60"/>
    </row>
    <row r="24" spans="1:64" x14ac:dyDescent="0.25">
      <c r="A24" s="58" t="s">
        <v>617</v>
      </c>
      <c r="B24" s="262"/>
      <c r="C24" s="262"/>
      <c r="D24" s="307"/>
      <c r="E24" s="307"/>
      <c r="F24" s="307"/>
      <c r="G24" s="307"/>
      <c r="H24" s="307"/>
      <c r="I24" s="307"/>
      <c r="J24" s="307"/>
      <c r="K24" s="307"/>
      <c r="L24" s="262"/>
      <c r="M24" s="262"/>
      <c r="N24" s="262"/>
      <c r="O24" s="262"/>
      <c r="P24" s="262"/>
      <c r="Q24" s="262"/>
      <c r="R24" s="262"/>
      <c r="S24" s="262"/>
      <c r="T24" s="262"/>
      <c r="U24" s="262"/>
      <c r="V24" s="262"/>
      <c r="W24" s="262"/>
      <c r="X24" s="148" t="str">
        <f t="shared" si="0"/>
        <v>FEL</v>
      </c>
      <c r="Y24" s="261">
        <v>20</v>
      </c>
      <c r="Z24" s="261">
        <v>10</v>
      </c>
      <c r="AA24" s="261">
        <v>50</v>
      </c>
      <c r="AB24" s="32" t="e">
        <f>(H24-G24)/(G24+J24+(F24*'Kalkylvärden 1'!$G$9/60))*100</f>
        <v>#DIV/0!</v>
      </c>
      <c r="AC24" s="60" t="e">
        <f t="shared" si="1"/>
        <v>#DIV/0!</v>
      </c>
      <c r="AD24" s="20" t="e">
        <f>('Kalkylvärden 1'!D$97+'Gods UA1'!Y24*('Kalkylvärden 1'!D$98*(1-'Gods UA1'!AA24/100)+'Kalkylvärden 1'!D$99*'Gods UA1'!AA24/100)+'Gods UA1'!Z24*('Kalkylvärden 1'!D$100*(1-'Gods UA1'!AA24/100)+'Kalkylvärden 1'!D$101*'Gods UA1'!AA24/100))*'Gods UA1'!D24/('Gods UA1'!D24+'Gods UA1'!E24)+('Kalkylvärden 1'!E$97+'Gods UA1'!Y24*('Kalkylvärden 1'!E$98*(1-'Gods UA1'!AA24/100)+'Kalkylvärden 1'!E$99*'Gods UA1'!AA24/100)+'Gods UA1'!Z24*('Kalkylvärden 1'!E$100*(1-'Gods UA1'!AA24/100)+'Kalkylvärden 1'!E$101*'Gods UA1'!AA24/100))*'Gods UA1'!E24/('Gods UA1'!D24+'Gods UA1'!E24)</f>
        <v>#DIV/0!</v>
      </c>
      <c r="AE24" s="20">
        <f>'Kalkylvärden 1'!D$103+'Gods UA1'!Y24*'Kalkylvärden 1'!D$104+'Gods UA1'!Z24*'Kalkylvärden 1'!D$105</f>
        <v>54.767843200000002</v>
      </c>
      <c r="AF24" s="34" t="e">
        <f t="shared" si="2"/>
        <v>#DIV/0!</v>
      </c>
      <c r="AG24" s="34" t="e">
        <f>(AE24*G24*60*2)+(F24*AE24*'Kalkylvärden 1'!$G$9*2)+(J24*'Kalkylvärden 1'!$G$10*'Kalkylvärden 1'!M$100)+('Gods UA1'!B24/'Gods UA1'!C24*'Gods UA1'!K24*'Kalkylvärden 1'!$D$11)</f>
        <v>#DIV/0!</v>
      </c>
      <c r="AH24" s="34" t="e">
        <f t="shared" si="3"/>
        <v>#DIV/0!</v>
      </c>
      <c r="AI24" s="34" t="e">
        <f t="shared" si="4"/>
        <v>#DIV/0!</v>
      </c>
      <c r="AJ24" s="20" t="e">
        <f>('Kalkylvärden 1'!D$97+'Gods UA1'!Y24*('Kalkylvärden 1'!D$98*(1-'Gods UA1'!AA24/100)+'Kalkylvärden 1'!D$99*'Gods UA1'!AA24/100)+'Gods UA1'!Z24*('Kalkylvärden 1'!D$100*(1-'Gods UA1'!AA24/100)+'Kalkylvärden 1'!D$101*'Gods UA1'!AA24/100))*'Gods UA1'!D24/('Gods UA1'!D24+'Gods UA1'!E24)+('Kalkylvärden 1'!E$97+'Gods UA1'!Y24*('Kalkylvärden 1'!E$98*(1-'Gods UA1'!AA24/100)+'Kalkylvärden 1'!E$99*'Gods UA1'!AA24/100)+'Gods UA1'!Z24*('Kalkylvärden 1'!E$100*(1-'Gods UA1'!AA24/100)+'Kalkylvärden 1'!E$101*'Gods UA1'!AA24/100))*'Gods UA1'!E24/('Gods UA1'!D24+'Gods UA1'!E24)</f>
        <v>#DIV/0!</v>
      </c>
      <c r="AK24" s="20">
        <f>'Kalkylvärden 1'!D$103+'Gods UA1'!Y24*'Kalkylvärden 1'!D$104+'Gods UA1'!Z24*'Kalkylvärden 1'!D$105</f>
        <v>54.767843200000002</v>
      </c>
      <c r="AL24" s="34" t="e">
        <f t="shared" si="5"/>
        <v>#DIV/0!</v>
      </c>
      <c r="AM24" s="34" t="e">
        <f>(AK24*H24*60*2)+(AK24*F24*'Kalkylvärden 1'!$G$9*2)+(J24*'Kalkylvärden 1'!$G$10*'Kalkylvärden 1'!M$100)+(B24/C24*K24*'Kalkylvärden 1'!$D$11)</f>
        <v>#DIV/0!</v>
      </c>
      <c r="AN24" s="34" t="e">
        <f t="shared" si="6"/>
        <v>#DIV/0!</v>
      </c>
      <c r="AO24" s="34" t="e">
        <f t="shared" si="7"/>
        <v>#DIV/0!</v>
      </c>
      <c r="AP24" s="34" t="e">
        <f t="shared" si="8"/>
        <v>#DIV/0!</v>
      </c>
      <c r="AQ24" s="34" t="e">
        <f t="shared" si="9"/>
        <v>#DIV/0!</v>
      </c>
      <c r="AR24" s="34" t="e">
        <f t="shared" si="10"/>
        <v>#DIV/0!</v>
      </c>
      <c r="AS24" s="34" t="s">
        <v>328</v>
      </c>
      <c r="AT24" s="34" t="e">
        <f t="shared" si="11"/>
        <v>#DIV/0!</v>
      </c>
      <c r="AU24" s="34" t="e">
        <f>(AG24*C24)/((B24*(G24+J24))+(B24*'Kalkylvärden 1'!$G$9/60*F24))</f>
        <v>#DIV/0!</v>
      </c>
      <c r="AV24" s="34" t="e">
        <f t="shared" si="12"/>
        <v>#DIV/0!</v>
      </c>
      <c r="AW24" s="34" t="e">
        <f>(AO24*C24)/((B24*(G24+J24))+(B24*'Kalkylvärden 1'!$G$9/60*F24))</f>
        <v>#DIV/0!</v>
      </c>
      <c r="AX24" s="34" t="e">
        <f>-AC24/100*'Kalkylvärden 1'!$B$23*'Gods UA1'!B24</f>
        <v>#DIV/0!</v>
      </c>
      <c r="AY24" s="34" t="e">
        <f t="shared" si="13"/>
        <v>#DIV/0!</v>
      </c>
      <c r="AZ24" s="34" t="e">
        <f t="shared" si="14"/>
        <v>#DIV/0!</v>
      </c>
      <c r="BA24" s="34" t="e">
        <f t="shared" si="15"/>
        <v>#DIV/0!</v>
      </c>
      <c r="BB24" s="34" t="e">
        <f t="shared" si="16"/>
        <v>#DIV/0!</v>
      </c>
      <c r="BC24" s="34" t="e">
        <f t="shared" si="17"/>
        <v>#DIV/0!</v>
      </c>
      <c r="BD24" s="34" t="e">
        <f t="shared" si="18"/>
        <v>#DIV/0!</v>
      </c>
      <c r="BE24" s="34" t="e">
        <f>IF(AX24&lt;0,((B24+AX24)*(G24-H24))*((L24/100*'Kalkylvärden 1'!B$195)+('Gods UA1'!M24/100*'Gods UA1'!B$168)+('Gods UA1'!N24/100*'Kalkylvärden 1'!B$197)+('Gods UA1'!O24*'Kalkylvärden 1'!B$198)+('Gods UA1'!P24/100*'Kalkylvärden 1'!B$199)+('Gods UA1'!Q24/100*'Kalkylvärden 1'!B$200)+('Gods UA1'!R24*'Kalkylvärden 1'!B$201)+('Gods UA1'!S24/100*'Kalkylvärden 1'!B$202)+('Gods UA1'!T24/100*'Kalkylvärden 1'!B$203)+('Gods UA1'!U24*'Kalkylvärden 1'!B$204)+('Gods UA1'!V24/100*'Kalkylvärden 1'!B$205)+('Gods UA1'!W24/100*'Kalkylvärden 1'!B$206)),(B24*(G24-H24))*((L24/100*'Kalkylvärden 1'!B$195)+('Gods UA1'!M24/100*'Kalkylvärden 1'!B$196)+('Gods UA1'!N24/100*'Kalkylvärden 1'!B$197)+('Gods UA1'!O24*'Kalkylvärden 1'!B$198)+('Gods UA1'!P24/100*'Kalkylvärden 1'!B$199)+('Gods UA1'!Q24/100*'Kalkylvärden 1'!B$200)+('Gods UA1'!R24/100*'Kalkylvärden 1'!B$201)+('Gods UA1'!S24/100*'Kalkylvärden 1'!B$202)+('Gods UA1'!T24/100*'Kalkylvärden 1'!B$203)+('Gods UA1'!U24/100*'Kalkylvärden 1'!B$204)+('Gods UA1'!V24/100*'Kalkylvärden 1'!B$205)+('Gods UA1'!W24/100*'Kalkylvärden 1'!B$206)))</f>
        <v>#DIV/0!</v>
      </c>
      <c r="BF24" s="34" t="e">
        <f>((ABS(AX24/2))*(G24-H24))*((L24/100*'Kalkylvärden 1'!B$195)+('Gods UA1'!M24/100*'Kalkylvärden 1'!B$196)+('Gods UA1'!N24/100*'Kalkylvärden 1'!B$197)+('Gods UA1'!O24/100*'Kalkylvärden 1'!B$198)+('Gods UA1'!P24/100*'Kalkylvärden 1'!B$199)+('Gods UA1'!Q24/100*'Kalkylvärden 1'!B$200)+('Gods UA1'!R24/100*'Kalkylvärden 1'!B$201)+('Gods UA1'!S24/100*'Kalkylvärden 1'!B$202)+('Gods UA1'!T24/100*'Kalkylvärden 1'!B$203)+('Gods UA1'!U24/100*'Kalkylvärden 1'!B$204)+('Gods UA1'!V24/100*'Kalkylvärden 1'!B$205)+('Gods UA1'!W24/100*'Kalkylvärden 1'!B$206))</f>
        <v>#DIV/0!</v>
      </c>
      <c r="BG24" s="34" t="e">
        <f t="shared" si="19"/>
        <v>#DIV/0!</v>
      </c>
      <c r="BH24" s="34" t="e">
        <f>(AX24*E24*'Kalkylvärden 1'!$E$188)</f>
        <v>#DIV/0!</v>
      </c>
      <c r="BI24" s="60" t="e">
        <f>AX24*(D24+E24)*'Kalkylvärden 1'!$E$184</f>
        <v>#DIV/0!</v>
      </c>
      <c r="BJ24" s="60" t="e">
        <f>(AX24*(D24+E24)*'Kalkylvärden 1'!$E$186)</f>
        <v>#DIV/0!</v>
      </c>
      <c r="BK24" s="60" t="e">
        <f>-AX24/Projektspecifikt!$B$7*(D24+E24)*'Kalkylvärden 1'!$E$180</f>
        <v>#DIV/0!</v>
      </c>
      <c r="BL24" s="60"/>
    </row>
    <row r="25" spans="1:64" x14ac:dyDescent="0.25">
      <c r="A25" s="58" t="s">
        <v>617</v>
      </c>
      <c r="B25" s="262"/>
      <c r="C25" s="262"/>
      <c r="D25" s="307"/>
      <c r="E25" s="307"/>
      <c r="F25" s="307"/>
      <c r="G25" s="307"/>
      <c r="H25" s="307"/>
      <c r="I25" s="307"/>
      <c r="J25" s="307"/>
      <c r="K25" s="307"/>
      <c r="L25" s="262"/>
      <c r="M25" s="262"/>
      <c r="N25" s="262"/>
      <c r="O25" s="262"/>
      <c r="P25" s="262"/>
      <c r="Q25" s="262"/>
      <c r="R25" s="262"/>
      <c r="S25" s="262"/>
      <c r="T25" s="262"/>
      <c r="U25" s="262"/>
      <c r="V25" s="262"/>
      <c r="W25" s="262"/>
      <c r="X25" s="148" t="str">
        <f t="shared" si="0"/>
        <v>FEL</v>
      </c>
      <c r="Y25" s="261">
        <v>20</v>
      </c>
      <c r="Z25" s="261">
        <v>10</v>
      </c>
      <c r="AA25" s="261">
        <v>50</v>
      </c>
      <c r="AB25" s="32" t="e">
        <f>(H25-G25)/(G25+J25+(F25*'Kalkylvärden 1'!$G$9/60))*100</f>
        <v>#DIV/0!</v>
      </c>
      <c r="AC25" s="60" t="e">
        <f t="shared" si="1"/>
        <v>#DIV/0!</v>
      </c>
      <c r="AD25" s="20" t="e">
        <f>('Kalkylvärden 1'!D$97+'Gods UA1'!Y25*('Kalkylvärden 1'!D$98*(1-'Gods UA1'!AA25/100)+'Kalkylvärden 1'!D$99*'Gods UA1'!AA25/100)+'Gods UA1'!Z25*('Kalkylvärden 1'!D$100*(1-'Gods UA1'!AA25/100)+'Kalkylvärden 1'!D$101*'Gods UA1'!AA25/100))*'Gods UA1'!D25/('Gods UA1'!D25+'Gods UA1'!E25)+('Kalkylvärden 1'!E$97+'Gods UA1'!Y25*('Kalkylvärden 1'!E$98*(1-'Gods UA1'!AA25/100)+'Kalkylvärden 1'!E$99*'Gods UA1'!AA25/100)+'Gods UA1'!Z25*('Kalkylvärden 1'!E$100*(1-'Gods UA1'!AA25/100)+'Kalkylvärden 1'!E$101*'Gods UA1'!AA25/100))*'Gods UA1'!E25/('Gods UA1'!D25+'Gods UA1'!E25)</f>
        <v>#DIV/0!</v>
      </c>
      <c r="AE25" s="20">
        <f>'Kalkylvärden 1'!D$103+'Gods UA1'!Y25*'Kalkylvärden 1'!D$104+'Gods UA1'!Z25*'Kalkylvärden 1'!D$105</f>
        <v>54.767843200000002</v>
      </c>
      <c r="AF25" s="34" t="e">
        <f t="shared" si="2"/>
        <v>#DIV/0!</v>
      </c>
      <c r="AG25" s="34" t="e">
        <f>(AE25*G25*60*2)+(F25*AE25*'Kalkylvärden 1'!$G$9*2)+(J25*'Kalkylvärden 1'!$G$10*'Kalkylvärden 1'!M$100)+('Gods UA1'!B25/'Gods UA1'!C25*'Gods UA1'!K25*'Kalkylvärden 1'!$D$11)</f>
        <v>#DIV/0!</v>
      </c>
      <c r="AH25" s="34" t="e">
        <f t="shared" si="3"/>
        <v>#DIV/0!</v>
      </c>
      <c r="AI25" s="34" t="e">
        <f t="shared" si="4"/>
        <v>#DIV/0!</v>
      </c>
      <c r="AJ25" s="20" t="e">
        <f>('Kalkylvärden 1'!D$97+'Gods UA1'!Y25*('Kalkylvärden 1'!D$98*(1-'Gods UA1'!AA25/100)+'Kalkylvärden 1'!D$99*'Gods UA1'!AA25/100)+'Gods UA1'!Z25*('Kalkylvärden 1'!D$100*(1-'Gods UA1'!AA25/100)+'Kalkylvärden 1'!D$101*'Gods UA1'!AA25/100))*'Gods UA1'!D25/('Gods UA1'!D25+'Gods UA1'!E25)+('Kalkylvärden 1'!E$97+'Gods UA1'!Y25*('Kalkylvärden 1'!E$98*(1-'Gods UA1'!AA25/100)+'Kalkylvärden 1'!E$99*'Gods UA1'!AA25/100)+'Gods UA1'!Z25*('Kalkylvärden 1'!E$100*(1-'Gods UA1'!AA25/100)+'Kalkylvärden 1'!E$101*'Gods UA1'!AA25/100))*'Gods UA1'!E25/('Gods UA1'!D25+'Gods UA1'!E25)</f>
        <v>#DIV/0!</v>
      </c>
      <c r="AK25" s="20">
        <f>'Kalkylvärden 1'!D$103+'Gods UA1'!Y25*'Kalkylvärden 1'!D$104+'Gods UA1'!Z25*'Kalkylvärden 1'!D$105</f>
        <v>54.767843200000002</v>
      </c>
      <c r="AL25" s="34" t="e">
        <f t="shared" si="5"/>
        <v>#DIV/0!</v>
      </c>
      <c r="AM25" s="34" t="e">
        <f>(AK25*H25*60*2)+(AK25*F25*'Kalkylvärden 1'!$G$9*2)+(J25*'Kalkylvärden 1'!$G$10*'Kalkylvärden 1'!M$100)+(B25/C25*K25*'Kalkylvärden 1'!$D$11)</f>
        <v>#DIV/0!</v>
      </c>
      <c r="AN25" s="34" t="e">
        <f t="shared" si="6"/>
        <v>#DIV/0!</v>
      </c>
      <c r="AO25" s="34" t="e">
        <f t="shared" si="7"/>
        <v>#DIV/0!</v>
      </c>
      <c r="AP25" s="34" t="e">
        <f t="shared" si="8"/>
        <v>#DIV/0!</v>
      </c>
      <c r="AQ25" s="34" t="e">
        <f t="shared" si="9"/>
        <v>#DIV/0!</v>
      </c>
      <c r="AR25" s="34" t="e">
        <f t="shared" si="10"/>
        <v>#DIV/0!</v>
      </c>
      <c r="AS25" s="34" t="s">
        <v>328</v>
      </c>
      <c r="AT25" s="34" t="e">
        <f t="shared" si="11"/>
        <v>#DIV/0!</v>
      </c>
      <c r="AU25" s="34" t="e">
        <f>(AG25*C25)/((B25*(G25+J25))+(B25*'Kalkylvärden 1'!$G$9/60*F25))</f>
        <v>#DIV/0!</v>
      </c>
      <c r="AV25" s="34" t="e">
        <f t="shared" si="12"/>
        <v>#DIV/0!</v>
      </c>
      <c r="AW25" s="34" t="e">
        <f>(AO25*C25)/((B25*(G25+J25))+(B25*'Kalkylvärden 1'!$G$9/60*F25))</f>
        <v>#DIV/0!</v>
      </c>
      <c r="AX25" s="34" t="e">
        <f>-AC25/100*'Kalkylvärden 1'!$B$23*'Gods UA1'!B25</f>
        <v>#DIV/0!</v>
      </c>
      <c r="AY25" s="34" t="e">
        <f t="shared" si="13"/>
        <v>#DIV/0!</v>
      </c>
      <c r="AZ25" s="34" t="e">
        <f t="shared" si="14"/>
        <v>#DIV/0!</v>
      </c>
      <c r="BA25" s="34" t="e">
        <f t="shared" si="15"/>
        <v>#DIV/0!</v>
      </c>
      <c r="BB25" s="34" t="e">
        <f t="shared" si="16"/>
        <v>#DIV/0!</v>
      </c>
      <c r="BC25" s="34" t="e">
        <f t="shared" si="17"/>
        <v>#DIV/0!</v>
      </c>
      <c r="BD25" s="34" t="e">
        <f t="shared" si="18"/>
        <v>#DIV/0!</v>
      </c>
      <c r="BE25" s="34" t="e">
        <f>IF(AX25&lt;0,((B25+AX25)*(G25-H25))*((L25/100*'Kalkylvärden 1'!B$195)+('Gods UA1'!M25/100*'Gods UA1'!B$168)+('Gods UA1'!N25/100*'Kalkylvärden 1'!B$197)+('Gods UA1'!O25*'Kalkylvärden 1'!B$198)+('Gods UA1'!P25/100*'Kalkylvärden 1'!B$199)+('Gods UA1'!Q25/100*'Kalkylvärden 1'!B$200)+('Gods UA1'!R25*'Kalkylvärden 1'!B$201)+('Gods UA1'!S25/100*'Kalkylvärden 1'!B$202)+('Gods UA1'!T25/100*'Kalkylvärden 1'!B$203)+('Gods UA1'!U25*'Kalkylvärden 1'!B$204)+('Gods UA1'!V25/100*'Kalkylvärden 1'!B$205)+('Gods UA1'!W25/100*'Kalkylvärden 1'!B$206)),(B25*(G25-H25))*((L25/100*'Kalkylvärden 1'!B$195)+('Gods UA1'!M25/100*'Kalkylvärden 1'!B$196)+('Gods UA1'!N25/100*'Kalkylvärden 1'!B$197)+('Gods UA1'!O25*'Kalkylvärden 1'!B$198)+('Gods UA1'!P25/100*'Kalkylvärden 1'!B$199)+('Gods UA1'!Q25/100*'Kalkylvärden 1'!B$200)+('Gods UA1'!R25/100*'Kalkylvärden 1'!B$201)+('Gods UA1'!S25/100*'Kalkylvärden 1'!B$202)+('Gods UA1'!T25/100*'Kalkylvärden 1'!B$203)+('Gods UA1'!U25/100*'Kalkylvärden 1'!B$204)+('Gods UA1'!V25/100*'Kalkylvärden 1'!B$205)+('Gods UA1'!W25/100*'Kalkylvärden 1'!B$206)))</f>
        <v>#DIV/0!</v>
      </c>
      <c r="BF25" s="34" t="e">
        <f>((ABS(AX25/2))*(G25-H25))*((L25/100*'Kalkylvärden 1'!B$195)+('Gods UA1'!M25/100*'Kalkylvärden 1'!B$196)+('Gods UA1'!N25/100*'Kalkylvärden 1'!B$197)+('Gods UA1'!O25/100*'Kalkylvärden 1'!B$198)+('Gods UA1'!P25/100*'Kalkylvärden 1'!B$199)+('Gods UA1'!Q25/100*'Kalkylvärden 1'!B$200)+('Gods UA1'!R25/100*'Kalkylvärden 1'!B$201)+('Gods UA1'!S25/100*'Kalkylvärden 1'!B$202)+('Gods UA1'!T25/100*'Kalkylvärden 1'!B$203)+('Gods UA1'!U25/100*'Kalkylvärden 1'!B$204)+('Gods UA1'!V25/100*'Kalkylvärden 1'!B$205)+('Gods UA1'!W25/100*'Kalkylvärden 1'!B$206))</f>
        <v>#DIV/0!</v>
      </c>
      <c r="BG25" s="34" t="e">
        <f t="shared" si="19"/>
        <v>#DIV/0!</v>
      </c>
      <c r="BH25" s="34" t="e">
        <f>(AX25*E25*'Kalkylvärden 1'!$E$188)</f>
        <v>#DIV/0!</v>
      </c>
      <c r="BI25" s="60" t="e">
        <f>AX25*(D25+E25)*'Kalkylvärden 1'!$E$184</f>
        <v>#DIV/0!</v>
      </c>
      <c r="BJ25" s="60" t="e">
        <f>(AX25*(D25+E25)*'Kalkylvärden 1'!$E$186)</f>
        <v>#DIV/0!</v>
      </c>
      <c r="BK25" s="60" t="e">
        <f>-AX25/Projektspecifikt!$B$7*(D25+E25)*'Kalkylvärden 1'!$E$180</f>
        <v>#DIV/0!</v>
      </c>
      <c r="BL25" s="60"/>
    </row>
    <row r="26" spans="1:64" x14ac:dyDescent="0.25">
      <c r="A26" s="58" t="s">
        <v>617</v>
      </c>
      <c r="B26" s="262"/>
      <c r="C26" s="262"/>
      <c r="D26" s="307"/>
      <c r="E26" s="307"/>
      <c r="F26" s="307"/>
      <c r="G26" s="307"/>
      <c r="H26" s="307"/>
      <c r="I26" s="307"/>
      <c r="J26" s="307"/>
      <c r="K26" s="307"/>
      <c r="L26" s="262"/>
      <c r="M26" s="262"/>
      <c r="N26" s="262"/>
      <c r="O26" s="262"/>
      <c r="P26" s="262"/>
      <c r="Q26" s="262"/>
      <c r="R26" s="262"/>
      <c r="S26" s="262"/>
      <c r="T26" s="262"/>
      <c r="U26" s="262"/>
      <c r="V26" s="262"/>
      <c r="W26" s="262"/>
      <c r="X26" s="148" t="str">
        <f t="shared" si="0"/>
        <v>FEL</v>
      </c>
      <c r="Y26" s="261">
        <v>20</v>
      </c>
      <c r="Z26" s="261">
        <v>10</v>
      </c>
      <c r="AA26" s="261">
        <v>50</v>
      </c>
      <c r="AB26" s="32" t="e">
        <f>(H26-G26)/(G26+J26+(F26*'Kalkylvärden 1'!$G$9/60))*100</f>
        <v>#DIV/0!</v>
      </c>
      <c r="AC26" s="60" t="e">
        <f t="shared" si="1"/>
        <v>#DIV/0!</v>
      </c>
      <c r="AD26" s="20" t="e">
        <f>('Kalkylvärden 1'!D$97+'Gods UA1'!Y26*('Kalkylvärden 1'!D$98*(1-'Gods UA1'!AA26/100)+'Kalkylvärden 1'!D$99*'Gods UA1'!AA26/100)+'Gods UA1'!Z26*('Kalkylvärden 1'!D$100*(1-'Gods UA1'!AA26/100)+'Kalkylvärden 1'!D$101*'Gods UA1'!AA26/100))*'Gods UA1'!D26/('Gods UA1'!D26+'Gods UA1'!E26)+('Kalkylvärden 1'!E$97+'Gods UA1'!Y26*('Kalkylvärden 1'!E$98*(1-'Gods UA1'!AA26/100)+'Kalkylvärden 1'!E$99*'Gods UA1'!AA26/100)+'Gods UA1'!Z26*('Kalkylvärden 1'!E$100*(1-'Gods UA1'!AA26/100)+'Kalkylvärden 1'!E$101*'Gods UA1'!AA26/100))*'Gods UA1'!E26/('Gods UA1'!D26+'Gods UA1'!E26)</f>
        <v>#DIV/0!</v>
      </c>
      <c r="AE26" s="20">
        <f>'Kalkylvärden 1'!D$103+'Gods UA1'!Y26*'Kalkylvärden 1'!D$104+'Gods UA1'!Z26*'Kalkylvärden 1'!D$105</f>
        <v>54.767843200000002</v>
      </c>
      <c r="AF26" s="34" t="e">
        <f t="shared" si="2"/>
        <v>#DIV/0!</v>
      </c>
      <c r="AG26" s="34" t="e">
        <f>(AE26*G26*60*2)+(F26*AE26*'Kalkylvärden 1'!$G$9*2)+(J26*'Kalkylvärden 1'!$G$10*'Kalkylvärden 1'!M$100)+('Gods UA1'!B26/'Gods UA1'!C26*'Gods UA1'!K26*'Kalkylvärden 1'!$D$11)</f>
        <v>#DIV/0!</v>
      </c>
      <c r="AH26" s="34" t="e">
        <f t="shared" si="3"/>
        <v>#DIV/0!</v>
      </c>
      <c r="AI26" s="34" t="e">
        <f t="shared" si="4"/>
        <v>#DIV/0!</v>
      </c>
      <c r="AJ26" s="20" t="e">
        <f>('Kalkylvärden 1'!D$97+'Gods UA1'!Y26*('Kalkylvärden 1'!D$98*(1-'Gods UA1'!AA26/100)+'Kalkylvärden 1'!D$99*'Gods UA1'!AA26/100)+'Gods UA1'!Z26*('Kalkylvärden 1'!D$100*(1-'Gods UA1'!AA26/100)+'Kalkylvärden 1'!D$101*'Gods UA1'!AA26/100))*'Gods UA1'!D26/('Gods UA1'!D26+'Gods UA1'!E26)+('Kalkylvärden 1'!E$97+'Gods UA1'!Y26*('Kalkylvärden 1'!E$98*(1-'Gods UA1'!AA26/100)+'Kalkylvärden 1'!E$99*'Gods UA1'!AA26/100)+'Gods UA1'!Z26*('Kalkylvärden 1'!E$100*(1-'Gods UA1'!AA26/100)+'Kalkylvärden 1'!E$101*'Gods UA1'!AA26/100))*'Gods UA1'!E26/('Gods UA1'!D26+'Gods UA1'!E26)</f>
        <v>#DIV/0!</v>
      </c>
      <c r="AK26" s="20">
        <f>'Kalkylvärden 1'!D$103+'Gods UA1'!Y26*'Kalkylvärden 1'!D$104+'Gods UA1'!Z26*'Kalkylvärden 1'!D$105</f>
        <v>54.767843200000002</v>
      </c>
      <c r="AL26" s="34" t="e">
        <f t="shared" si="5"/>
        <v>#DIV/0!</v>
      </c>
      <c r="AM26" s="34" t="e">
        <f>(AK26*H26*60*2)+(AK26*F26*'Kalkylvärden 1'!$G$9*2)+(J26*'Kalkylvärden 1'!$G$10*'Kalkylvärden 1'!M$100)+(B26/C26*K26*'Kalkylvärden 1'!$D$11)</f>
        <v>#DIV/0!</v>
      </c>
      <c r="AN26" s="34" t="e">
        <f t="shared" si="6"/>
        <v>#DIV/0!</v>
      </c>
      <c r="AO26" s="34" t="e">
        <f t="shared" si="7"/>
        <v>#DIV/0!</v>
      </c>
      <c r="AP26" s="34" t="e">
        <f t="shared" si="8"/>
        <v>#DIV/0!</v>
      </c>
      <c r="AQ26" s="34" t="e">
        <f t="shared" si="9"/>
        <v>#DIV/0!</v>
      </c>
      <c r="AR26" s="34" t="e">
        <f t="shared" si="10"/>
        <v>#DIV/0!</v>
      </c>
      <c r="AS26" s="34" t="s">
        <v>328</v>
      </c>
      <c r="AT26" s="34" t="e">
        <f t="shared" si="11"/>
        <v>#DIV/0!</v>
      </c>
      <c r="AU26" s="34" t="e">
        <f>(AG26*C26)/((B26*(G26+J26))+(B26*'Kalkylvärden 1'!$G$9/60*F26))</f>
        <v>#DIV/0!</v>
      </c>
      <c r="AV26" s="34" t="e">
        <f t="shared" si="12"/>
        <v>#DIV/0!</v>
      </c>
      <c r="AW26" s="34" t="e">
        <f>(AO26*C26)/((B26*(G26+J26))+(B26*'Kalkylvärden 1'!$G$9/60*F26))</f>
        <v>#DIV/0!</v>
      </c>
      <c r="AX26" s="34" t="e">
        <f>-AC26/100*'Kalkylvärden 1'!$B$23*'Gods UA1'!B26</f>
        <v>#DIV/0!</v>
      </c>
      <c r="AY26" s="34" t="e">
        <f t="shared" si="13"/>
        <v>#DIV/0!</v>
      </c>
      <c r="AZ26" s="34" t="e">
        <f t="shared" si="14"/>
        <v>#DIV/0!</v>
      </c>
      <c r="BA26" s="34" t="e">
        <f t="shared" si="15"/>
        <v>#DIV/0!</v>
      </c>
      <c r="BB26" s="34" t="e">
        <f t="shared" si="16"/>
        <v>#DIV/0!</v>
      </c>
      <c r="BC26" s="34" t="e">
        <f t="shared" si="17"/>
        <v>#DIV/0!</v>
      </c>
      <c r="BD26" s="34" t="e">
        <f t="shared" si="18"/>
        <v>#DIV/0!</v>
      </c>
      <c r="BE26" s="34" t="e">
        <f>IF(AX26&lt;0,((B26+AX26)*(G26-H26))*((L26/100*'Kalkylvärden 1'!B$195)+('Gods UA1'!M26/100*'Gods UA1'!B$168)+('Gods UA1'!N26/100*'Kalkylvärden 1'!B$197)+('Gods UA1'!O26*'Kalkylvärden 1'!B$198)+('Gods UA1'!P26/100*'Kalkylvärden 1'!B$199)+('Gods UA1'!Q26/100*'Kalkylvärden 1'!B$200)+('Gods UA1'!R26*'Kalkylvärden 1'!B$201)+('Gods UA1'!S26/100*'Kalkylvärden 1'!B$202)+('Gods UA1'!T26/100*'Kalkylvärden 1'!B$203)+('Gods UA1'!U26*'Kalkylvärden 1'!B$204)+('Gods UA1'!V26/100*'Kalkylvärden 1'!B$205)+('Gods UA1'!W26/100*'Kalkylvärden 1'!B$206)),(B26*(G26-H26))*((L26/100*'Kalkylvärden 1'!B$195)+('Gods UA1'!M26/100*'Kalkylvärden 1'!B$196)+('Gods UA1'!N26/100*'Kalkylvärden 1'!B$197)+('Gods UA1'!O26*'Kalkylvärden 1'!B$198)+('Gods UA1'!P26/100*'Kalkylvärden 1'!B$199)+('Gods UA1'!Q26/100*'Kalkylvärden 1'!B$200)+('Gods UA1'!R26/100*'Kalkylvärden 1'!B$201)+('Gods UA1'!S26/100*'Kalkylvärden 1'!B$202)+('Gods UA1'!T26/100*'Kalkylvärden 1'!B$203)+('Gods UA1'!U26/100*'Kalkylvärden 1'!B$204)+('Gods UA1'!V26/100*'Kalkylvärden 1'!B$205)+('Gods UA1'!W26/100*'Kalkylvärden 1'!B$206)))</f>
        <v>#DIV/0!</v>
      </c>
      <c r="BF26" s="34" t="e">
        <f>((ABS(AX26/2))*(G26-H26))*((L26/100*'Kalkylvärden 1'!B$195)+('Gods UA1'!M26/100*'Kalkylvärden 1'!B$196)+('Gods UA1'!N26/100*'Kalkylvärden 1'!B$197)+('Gods UA1'!O26/100*'Kalkylvärden 1'!B$198)+('Gods UA1'!P26/100*'Kalkylvärden 1'!B$199)+('Gods UA1'!Q26/100*'Kalkylvärden 1'!B$200)+('Gods UA1'!R26/100*'Kalkylvärden 1'!B$201)+('Gods UA1'!S26/100*'Kalkylvärden 1'!B$202)+('Gods UA1'!T26/100*'Kalkylvärden 1'!B$203)+('Gods UA1'!U26/100*'Kalkylvärden 1'!B$204)+('Gods UA1'!V26/100*'Kalkylvärden 1'!B$205)+('Gods UA1'!W26/100*'Kalkylvärden 1'!B$206))</f>
        <v>#DIV/0!</v>
      </c>
      <c r="BG26" s="34" t="e">
        <f t="shared" si="19"/>
        <v>#DIV/0!</v>
      </c>
      <c r="BH26" s="34" t="e">
        <f>(AX26*E26*'Kalkylvärden 1'!$E$188)</f>
        <v>#DIV/0!</v>
      </c>
      <c r="BI26" s="60" t="e">
        <f>AX26*(D26+E26)*'Kalkylvärden 1'!$E$184</f>
        <v>#DIV/0!</v>
      </c>
      <c r="BJ26" s="60" t="e">
        <f>(AX26*(D26+E26)*'Kalkylvärden 1'!$E$186)</f>
        <v>#DIV/0!</v>
      </c>
      <c r="BK26" s="60" t="e">
        <f>-AX26/Projektspecifikt!$B$7*(D26+E26)*'Kalkylvärden 1'!$E$180</f>
        <v>#DIV/0!</v>
      </c>
      <c r="BL26" s="60"/>
    </row>
    <row r="27" spans="1:64" x14ac:dyDescent="0.25">
      <c r="A27" s="58" t="s">
        <v>617</v>
      </c>
      <c r="B27" s="262"/>
      <c r="C27" s="262"/>
      <c r="D27" s="307"/>
      <c r="E27" s="307"/>
      <c r="F27" s="307"/>
      <c r="G27" s="307"/>
      <c r="H27" s="307"/>
      <c r="I27" s="307"/>
      <c r="J27" s="307"/>
      <c r="K27" s="307"/>
      <c r="L27" s="262"/>
      <c r="M27" s="262"/>
      <c r="N27" s="262"/>
      <c r="O27" s="262"/>
      <c r="P27" s="262"/>
      <c r="Q27" s="262"/>
      <c r="R27" s="262"/>
      <c r="S27" s="262"/>
      <c r="T27" s="262"/>
      <c r="U27" s="262"/>
      <c r="V27" s="262"/>
      <c r="W27" s="262"/>
      <c r="X27" s="148" t="str">
        <f t="shared" si="0"/>
        <v>FEL</v>
      </c>
      <c r="Y27" s="261">
        <v>20</v>
      </c>
      <c r="Z27" s="261">
        <v>10</v>
      </c>
      <c r="AA27" s="261">
        <v>50</v>
      </c>
      <c r="AB27" s="32" t="e">
        <f>(H27-G27)/(G27+J27+(F27*'Kalkylvärden 1'!$G$9/60))*100</f>
        <v>#DIV/0!</v>
      </c>
      <c r="AC27" s="60" t="e">
        <f t="shared" si="1"/>
        <v>#DIV/0!</v>
      </c>
      <c r="AD27" s="20" t="e">
        <f>('Kalkylvärden 1'!D$97+'Gods UA1'!Y27*('Kalkylvärden 1'!D$98*(1-'Gods UA1'!AA27/100)+'Kalkylvärden 1'!D$99*'Gods UA1'!AA27/100)+'Gods UA1'!Z27*('Kalkylvärden 1'!D$100*(1-'Gods UA1'!AA27/100)+'Kalkylvärden 1'!D$101*'Gods UA1'!AA27/100))*'Gods UA1'!D27/('Gods UA1'!D27+'Gods UA1'!E27)+('Kalkylvärden 1'!E$97+'Gods UA1'!Y27*('Kalkylvärden 1'!E$98*(1-'Gods UA1'!AA27/100)+'Kalkylvärden 1'!E$99*'Gods UA1'!AA27/100)+'Gods UA1'!Z27*('Kalkylvärden 1'!E$100*(1-'Gods UA1'!AA27/100)+'Kalkylvärden 1'!E$101*'Gods UA1'!AA27/100))*'Gods UA1'!E27/('Gods UA1'!D27+'Gods UA1'!E27)</f>
        <v>#DIV/0!</v>
      </c>
      <c r="AE27" s="20">
        <f>'Kalkylvärden 1'!D$103+'Gods UA1'!Y27*'Kalkylvärden 1'!D$104+'Gods UA1'!Z27*'Kalkylvärden 1'!D$105</f>
        <v>54.767843200000002</v>
      </c>
      <c r="AF27" s="34" t="e">
        <f t="shared" si="2"/>
        <v>#DIV/0!</v>
      </c>
      <c r="AG27" s="34" t="e">
        <f>(AE27*G27*60*2)+(F27*AE27*'Kalkylvärden 1'!$G$9*2)+(J27*'Kalkylvärden 1'!$G$10*'Kalkylvärden 1'!M$100)+('Gods UA1'!B27/'Gods UA1'!C27*'Gods UA1'!K27*'Kalkylvärden 1'!$D$11)</f>
        <v>#DIV/0!</v>
      </c>
      <c r="AH27" s="34" t="e">
        <f t="shared" si="3"/>
        <v>#DIV/0!</v>
      </c>
      <c r="AI27" s="34" t="e">
        <f t="shared" si="4"/>
        <v>#DIV/0!</v>
      </c>
      <c r="AJ27" s="20" t="e">
        <f>('Kalkylvärden 1'!D$97+'Gods UA1'!Y27*('Kalkylvärden 1'!D$98*(1-'Gods UA1'!AA27/100)+'Kalkylvärden 1'!D$99*'Gods UA1'!AA27/100)+'Gods UA1'!Z27*('Kalkylvärden 1'!D$100*(1-'Gods UA1'!AA27/100)+'Kalkylvärden 1'!D$101*'Gods UA1'!AA27/100))*'Gods UA1'!D27/('Gods UA1'!D27+'Gods UA1'!E27)+('Kalkylvärden 1'!E$97+'Gods UA1'!Y27*('Kalkylvärden 1'!E$98*(1-'Gods UA1'!AA27/100)+'Kalkylvärden 1'!E$99*'Gods UA1'!AA27/100)+'Gods UA1'!Z27*('Kalkylvärden 1'!E$100*(1-'Gods UA1'!AA27/100)+'Kalkylvärden 1'!E$101*'Gods UA1'!AA27/100))*'Gods UA1'!E27/('Gods UA1'!D27+'Gods UA1'!E27)</f>
        <v>#DIV/0!</v>
      </c>
      <c r="AK27" s="20">
        <f>'Kalkylvärden 1'!D$103+'Gods UA1'!Y27*'Kalkylvärden 1'!D$104+'Gods UA1'!Z27*'Kalkylvärden 1'!D$105</f>
        <v>54.767843200000002</v>
      </c>
      <c r="AL27" s="34" t="e">
        <f t="shared" si="5"/>
        <v>#DIV/0!</v>
      </c>
      <c r="AM27" s="34" t="e">
        <f>(AK27*H27*60*2)+(AK27*F27*'Kalkylvärden 1'!$G$9*2)+(J27*'Kalkylvärden 1'!$G$10*'Kalkylvärden 1'!M$100)+(B27/C27*K27*'Kalkylvärden 1'!$D$11)</f>
        <v>#DIV/0!</v>
      </c>
      <c r="AN27" s="34" t="e">
        <f t="shared" si="6"/>
        <v>#DIV/0!</v>
      </c>
      <c r="AO27" s="34" t="e">
        <f t="shared" si="7"/>
        <v>#DIV/0!</v>
      </c>
      <c r="AP27" s="34" t="e">
        <f t="shared" si="8"/>
        <v>#DIV/0!</v>
      </c>
      <c r="AQ27" s="34" t="e">
        <f t="shared" si="9"/>
        <v>#DIV/0!</v>
      </c>
      <c r="AR27" s="34" t="e">
        <f t="shared" si="10"/>
        <v>#DIV/0!</v>
      </c>
      <c r="AS27" s="34" t="s">
        <v>328</v>
      </c>
      <c r="AT27" s="34" t="e">
        <f t="shared" si="11"/>
        <v>#DIV/0!</v>
      </c>
      <c r="AU27" s="34" t="e">
        <f>(AG27*C27)/((B27*(G27+J27))+(B27*'Kalkylvärden 1'!$G$9/60*F27))</f>
        <v>#DIV/0!</v>
      </c>
      <c r="AV27" s="34" t="e">
        <f t="shared" si="12"/>
        <v>#DIV/0!</v>
      </c>
      <c r="AW27" s="34" t="e">
        <f>(AO27*C27)/((B27*(G27+J27))+(B27*'Kalkylvärden 1'!$G$9/60*F27))</f>
        <v>#DIV/0!</v>
      </c>
      <c r="AX27" s="34" t="e">
        <f>-AC27/100*'Kalkylvärden 1'!$B$23*'Gods UA1'!B27</f>
        <v>#DIV/0!</v>
      </c>
      <c r="AY27" s="34" t="e">
        <f t="shared" si="13"/>
        <v>#DIV/0!</v>
      </c>
      <c r="AZ27" s="34" t="e">
        <f t="shared" si="14"/>
        <v>#DIV/0!</v>
      </c>
      <c r="BA27" s="34" t="e">
        <f t="shared" si="15"/>
        <v>#DIV/0!</v>
      </c>
      <c r="BB27" s="34" t="e">
        <f t="shared" si="16"/>
        <v>#DIV/0!</v>
      </c>
      <c r="BC27" s="34" t="e">
        <f t="shared" si="17"/>
        <v>#DIV/0!</v>
      </c>
      <c r="BD27" s="34" t="e">
        <f t="shared" si="18"/>
        <v>#DIV/0!</v>
      </c>
      <c r="BE27" s="34" t="e">
        <f>IF(AX27&lt;0,((B27+AX27)*(G27-H27))*((L27/100*'Kalkylvärden 1'!B$195)+('Gods UA1'!M27/100*'Gods UA1'!B$168)+('Gods UA1'!N27/100*'Kalkylvärden 1'!B$197)+('Gods UA1'!O27*'Kalkylvärden 1'!B$198)+('Gods UA1'!P27/100*'Kalkylvärden 1'!B$199)+('Gods UA1'!Q27/100*'Kalkylvärden 1'!B$200)+('Gods UA1'!R27*'Kalkylvärden 1'!B$201)+('Gods UA1'!S27/100*'Kalkylvärden 1'!B$202)+('Gods UA1'!T27/100*'Kalkylvärden 1'!B$203)+('Gods UA1'!U27*'Kalkylvärden 1'!B$204)+('Gods UA1'!V27/100*'Kalkylvärden 1'!B$205)+('Gods UA1'!W27/100*'Kalkylvärden 1'!B$206)),(B27*(G27-H27))*((L27/100*'Kalkylvärden 1'!B$195)+('Gods UA1'!M27/100*'Kalkylvärden 1'!B$196)+('Gods UA1'!N27/100*'Kalkylvärden 1'!B$197)+('Gods UA1'!O27*'Kalkylvärden 1'!B$198)+('Gods UA1'!P27/100*'Kalkylvärden 1'!B$199)+('Gods UA1'!Q27/100*'Kalkylvärden 1'!B$200)+('Gods UA1'!R27/100*'Kalkylvärden 1'!B$201)+('Gods UA1'!S27/100*'Kalkylvärden 1'!B$202)+('Gods UA1'!T27/100*'Kalkylvärden 1'!B$203)+('Gods UA1'!U27/100*'Kalkylvärden 1'!B$204)+('Gods UA1'!V27/100*'Kalkylvärden 1'!B$205)+('Gods UA1'!W27/100*'Kalkylvärden 1'!B$206)))</f>
        <v>#DIV/0!</v>
      </c>
      <c r="BF27" s="34" t="e">
        <f>((ABS(AX27/2))*(G27-H27))*((L27/100*'Kalkylvärden 1'!B$195)+('Gods UA1'!M27/100*'Kalkylvärden 1'!B$196)+('Gods UA1'!N27/100*'Kalkylvärden 1'!B$197)+('Gods UA1'!O27/100*'Kalkylvärden 1'!B$198)+('Gods UA1'!P27/100*'Kalkylvärden 1'!B$199)+('Gods UA1'!Q27/100*'Kalkylvärden 1'!B$200)+('Gods UA1'!R27/100*'Kalkylvärden 1'!B$201)+('Gods UA1'!S27/100*'Kalkylvärden 1'!B$202)+('Gods UA1'!T27/100*'Kalkylvärden 1'!B$203)+('Gods UA1'!U27/100*'Kalkylvärden 1'!B$204)+('Gods UA1'!V27/100*'Kalkylvärden 1'!B$205)+('Gods UA1'!W27/100*'Kalkylvärden 1'!B$206))</f>
        <v>#DIV/0!</v>
      </c>
      <c r="BG27" s="34" t="e">
        <f t="shared" si="19"/>
        <v>#DIV/0!</v>
      </c>
      <c r="BH27" s="34" t="e">
        <f>(AX27*E27*'Kalkylvärden 1'!$E$188)</f>
        <v>#DIV/0!</v>
      </c>
      <c r="BI27" s="60" t="e">
        <f>AX27*(D27+E27)*'Kalkylvärden 1'!$E$184</f>
        <v>#DIV/0!</v>
      </c>
      <c r="BJ27" s="60" t="e">
        <f>(AX27*(D27+E27)*'Kalkylvärden 1'!$E$186)</f>
        <v>#DIV/0!</v>
      </c>
      <c r="BK27" s="60" t="e">
        <f>-AX27/Projektspecifikt!$B$7*(D27+E27)*'Kalkylvärden 1'!$E$180</f>
        <v>#DIV/0!</v>
      </c>
      <c r="BL27" s="60"/>
    </row>
    <row r="28" spans="1:64" x14ac:dyDescent="0.25">
      <c r="A28" s="58" t="s">
        <v>617</v>
      </c>
      <c r="B28" s="262"/>
      <c r="C28" s="262"/>
      <c r="D28" s="307"/>
      <c r="E28" s="307"/>
      <c r="F28" s="307"/>
      <c r="G28" s="307"/>
      <c r="H28" s="307"/>
      <c r="I28" s="307"/>
      <c r="J28" s="307"/>
      <c r="K28" s="307"/>
      <c r="L28" s="262"/>
      <c r="M28" s="262"/>
      <c r="N28" s="262"/>
      <c r="O28" s="262"/>
      <c r="P28" s="262"/>
      <c r="Q28" s="262"/>
      <c r="R28" s="262"/>
      <c r="S28" s="262"/>
      <c r="T28" s="262"/>
      <c r="U28" s="262"/>
      <c r="V28" s="262"/>
      <c r="W28" s="262"/>
      <c r="X28" s="148" t="str">
        <f t="shared" si="0"/>
        <v>FEL</v>
      </c>
      <c r="Y28" s="261">
        <v>20</v>
      </c>
      <c r="Z28" s="261">
        <v>10</v>
      </c>
      <c r="AA28" s="261">
        <v>50</v>
      </c>
      <c r="AB28" s="32" t="e">
        <f>(H28-G28)/(G28+J28+(F28*'Kalkylvärden 1'!$G$9/60))*100</f>
        <v>#DIV/0!</v>
      </c>
      <c r="AC28" s="60" t="e">
        <f t="shared" si="1"/>
        <v>#DIV/0!</v>
      </c>
      <c r="AD28" s="20" t="e">
        <f>('Kalkylvärden 1'!D$97+'Gods UA1'!Y28*('Kalkylvärden 1'!D$98*(1-'Gods UA1'!AA28/100)+'Kalkylvärden 1'!D$99*'Gods UA1'!AA28/100)+'Gods UA1'!Z28*('Kalkylvärden 1'!D$100*(1-'Gods UA1'!AA28/100)+'Kalkylvärden 1'!D$101*'Gods UA1'!AA28/100))*'Gods UA1'!D28/('Gods UA1'!D28+'Gods UA1'!E28)+('Kalkylvärden 1'!E$97+'Gods UA1'!Y28*('Kalkylvärden 1'!E$98*(1-'Gods UA1'!AA28/100)+'Kalkylvärden 1'!E$99*'Gods UA1'!AA28/100)+'Gods UA1'!Z28*('Kalkylvärden 1'!E$100*(1-'Gods UA1'!AA28/100)+'Kalkylvärden 1'!E$101*'Gods UA1'!AA28/100))*'Gods UA1'!E28/('Gods UA1'!D28+'Gods UA1'!E28)</f>
        <v>#DIV/0!</v>
      </c>
      <c r="AE28" s="20">
        <f>'Kalkylvärden 1'!D$103+'Gods UA1'!Y28*'Kalkylvärden 1'!D$104+'Gods UA1'!Z28*'Kalkylvärden 1'!D$105</f>
        <v>54.767843200000002</v>
      </c>
      <c r="AF28" s="34" t="e">
        <f t="shared" si="2"/>
        <v>#DIV/0!</v>
      </c>
      <c r="AG28" s="34" t="e">
        <f>(AE28*G28*60*2)+(F28*AE28*'Kalkylvärden 1'!$G$9*2)+(J28*'Kalkylvärden 1'!$G$10*'Kalkylvärden 1'!M$100)+('Gods UA1'!B28/'Gods UA1'!C28*'Gods UA1'!K28*'Kalkylvärden 1'!$D$11)</f>
        <v>#DIV/0!</v>
      </c>
      <c r="AH28" s="34" t="e">
        <f t="shared" si="3"/>
        <v>#DIV/0!</v>
      </c>
      <c r="AI28" s="34" t="e">
        <f t="shared" si="4"/>
        <v>#DIV/0!</v>
      </c>
      <c r="AJ28" s="20" t="e">
        <f>('Kalkylvärden 1'!D$97+'Gods UA1'!Y28*('Kalkylvärden 1'!D$98*(1-'Gods UA1'!AA28/100)+'Kalkylvärden 1'!D$99*'Gods UA1'!AA28/100)+'Gods UA1'!Z28*('Kalkylvärden 1'!D$100*(1-'Gods UA1'!AA28/100)+'Kalkylvärden 1'!D$101*'Gods UA1'!AA28/100))*'Gods UA1'!D28/('Gods UA1'!D28+'Gods UA1'!E28)+('Kalkylvärden 1'!E$97+'Gods UA1'!Y28*('Kalkylvärden 1'!E$98*(1-'Gods UA1'!AA28/100)+'Kalkylvärden 1'!E$99*'Gods UA1'!AA28/100)+'Gods UA1'!Z28*('Kalkylvärden 1'!E$100*(1-'Gods UA1'!AA28/100)+'Kalkylvärden 1'!E$101*'Gods UA1'!AA28/100))*'Gods UA1'!E28/('Gods UA1'!D28+'Gods UA1'!E28)</f>
        <v>#DIV/0!</v>
      </c>
      <c r="AK28" s="20">
        <f>'Kalkylvärden 1'!D$103+'Gods UA1'!Y28*'Kalkylvärden 1'!D$104+'Gods UA1'!Z28*'Kalkylvärden 1'!D$105</f>
        <v>54.767843200000002</v>
      </c>
      <c r="AL28" s="34" t="e">
        <f t="shared" si="5"/>
        <v>#DIV/0!</v>
      </c>
      <c r="AM28" s="34" t="e">
        <f>(AK28*H28*60*2)+(AK28*F28*'Kalkylvärden 1'!$G$9*2)+(J28*'Kalkylvärden 1'!$G$10*'Kalkylvärden 1'!M$100)+(B28/C28*K28*'Kalkylvärden 1'!$D$11)</f>
        <v>#DIV/0!</v>
      </c>
      <c r="AN28" s="34" t="e">
        <f t="shared" si="6"/>
        <v>#DIV/0!</v>
      </c>
      <c r="AO28" s="34" t="e">
        <f t="shared" si="7"/>
        <v>#DIV/0!</v>
      </c>
      <c r="AP28" s="34" t="e">
        <f t="shared" si="8"/>
        <v>#DIV/0!</v>
      </c>
      <c r="AQ28" s="34" t="e">
        <f t="shared" si="9"/>
        <v>#DIV/0!</v>
      </c>
      <c r="AR28" s="34" t="e">
        <f t="shared" si="10"/>
        <v>#DIV/0!</v>
      </c>
      <c r="AS28" s="34" t="s">
        <v>328</v>
      </c>
      <c r="AT28" s="34" t="e">
        <f t="shared" si="11"/>
        <v>#DIV/0!</v>
      </c>
      <c r="AU28" s="34" t="e">
        <f>(AG28*C28)/((B28*(G28+J28))+(B28*'Kalkylvärden 1'!$G$9/60*F28))</f>
        <v>#DIV/0!</v>
      </c>
      <c r="AV28" s="34" t="e">
        <f t="shared" si="12"/>
        <v>#DIV/0!</v>
      </c>
      <c r="AW28" s="34" t="e">
        <f>(AO28*C28)/((B28*(G28+J28))+(B28*'Kalkylvärden 1'!$G$9/60*F28))</f>
        <v>#DIV/0!</v>
      </c>
      <c r="AX28" s="34" t="e">
        <f>-AC28/100*'Kalkylvärden 1'!$B$23*'Gods UA1'!B28</f>
        <v>#DIV/0!</v>
      </c>
      <c r="AY28" s="34" t="e">
        <f t="shared" si="13"/>
        <v>#DIV/0!</v>
      </c>
      <c r="AZ28" s="34" t="e">
        <f t="shared" si="14"/>
        <v>#DIV/0!</v>
      </c>
      <c r="BA28" s="34" t="e">
        <f t="shared" si="15"/>
        <v>#DIV/0!</v>
      </c>
      <c r="BB28" s="34" t="e">
        <f t="shared" si="16"/>
        <v>#DIV/0!</v>
      </c>
      <c r="BC28" s="34" t="e">
        <f t="shared" si="17"/>
        <v>#DIV/0!</v>
      </c>
      <c r="BD28" s="34" t="e">
        <f t="shared" si="18"/>
        <v>#DIV/0!</v>
      </c>
      <c r="BE28" s="34" t="e">
        <f>IF(AX28&lt;0,((B28+AX28)*(G28-H28))*((L28/100*'Kalkylvärden 1'!B$195)+('Gods UA1'!M28/100*'Gods UA1'!B$168)+('Gods UA1'!N28/100*'Kalkylvärden 1'!B$197)+('Gods UA1'!O28*'Kalkylvärden 1'!B$198)+('Gods UA1'!P28/100*'Kalkylvärden 1'!B$199)+('Gods UA1'!Q28/100*'Kalkylvärden 1'!B$200)+('Gods UA1'!R28*'Kalkylvärden 1'!B$201)+('Gods UA1'!S28/100*'Kalkylvärden 1'!B$202)+('Gods UA1'!T28/100*'Kalkylvärden 1'!B$203)+('Gods UA1'!U28*'Kalkylvärden 1'!B$204)+('Gods UA1'!V28/100*'Kalkylvärden 1'!B$205)+('Gods UA1'!W28/100*'Kalkylvärden 1'!B$206)),(B28*(G28-H28))*((L28/100*'Kalkylvärden 1'!B$195)+('Gods UA1'!M28/100*'Kalkylvärden 1'!B$196)+('Gods UA1'!N28/100*'Kalkylvärden 1'!B$197)+('Gods UA1'!O28*'Kalkylvärden 1'!B$198)+('Gods UA1'!P28/100*'Kalkylvärden 1'!B$199)+('Gods UA1'!Q28/100*'Kalkylvärden 1'!B$200)+('Gods UA1'!R28/100*'Kalkylvärden 1'!B$201)+('Gods UA1'!S28/100*'Kalkylvärden 1'!B$202)+('Gods UA1'!T28/100*'Kalkylvärden 1'!B$203)+('Gods UA1'!U28/100*'Kalkylvärden 1'!B$204)+('Gods UA1'!V28/100*'Kalkylvärden 1'!B$205)+('Gods UA1'!W28/100*'Kalkylvärden 1'!B$206)))</f>
        <v>#DIV/0!</v>
      </c>
      <c r="BF28" s="34" t="e">
        <f>((ABS(AX28/2))*(G28-H28))*((L28/100*'Kalkylvärden 1'!B$195)+('Gods UA1'!M28/100*'Kalkylvärden 1'!B$196)+('Gods UA1'!N28/100*'Kalkylvärden 1'!B$197)+('Gods UA1'!O28/100*'Kalkylvärden 1'!B$198)+('Gods UA1'!P28/100*'Kalkylvärden 1'!B$199)+('Gods UA1'!Q28/100*'Kalkylvärden 1'!B$200)+('Gods UA1'!R28/100*'Kalkylvärden 1'!B$201)+('Gods UA1'!S28/100*'Kalkylvärden 1'!B$202)+('Gods UA1'!T28/100*'Kalkylvärden 1'!B$203)+('Gods UA1'!U28/100*'Kalkylvärden 1'!B$204)+('Gods UA1'!V28/100*'Kalkylvärden 1'!B$205)+('Gods UA1'!W28/100*'Kalkylvärden 1'!B$206))</f>
        <v>#DIV/0!</v>
      </c>
      <c r="BG28" s="34" t="e">
        <f t="shared" si="19"/>
        <v>#DIV/0!</v>
      </c>
      <c r="BH28" s="34" t="e">
        <f>(AX28*E28*'Kalkylvärden 1'!$E$188)</f>
        <v>#DIV/0!</v>
      </c>
      <c r="BI28" s="60" t="e">
        <f>AX28*(D28+E28)*'Kalkylvärden 1'!$E$184</f>
        <v>#DIV/0!</v>
      </c>
      <c r="BJ28" s="60" t="e">
        <f>(AX28*(D28+E28)*'Kalkylvärden 1'!$E$186)</f>
        <v>#DIV/0!</v>
      </c>
      <c r="BK28" s="60" t="e">
        <f>-AX28/Projektspecifikt!$B$7*(D28+E28)*'Kalkylvärden 1'!$E$180</f>
        <v>#DIV/0!</v>
      </c>
      <c r="BL28" s="60"/>
    </row>
    <row r="29" spans="1:64" x14ac:dyDescent="0.25">
      <c r="A29" s="58" t="s">
        <v>617</v>
      </c>
      <c r="B29" s="262"/>
      <c r="C29" s="262"/>
      <c r="D29" s="307"/>
      <c r="E29" s="307"/>
      <c r="F29" s="307"/>
      <c r="G29" s="307"/>
      <c r="H29" s="307"/>
      <c r="I29" s="307"/>
      <c r="J29" s="307"/>
      <c r="K29" s="307"/>
      <c r="L29" s="262"/>
      <c r="M29" s="262"/>
      <c r="N29" s="262"/>
      <c r="O29" s="262"/>
      <c r="P29" s="262"/>
      <c r="Q29" s="262"/>
      <c r="R29" s="262"/>
      <c r="S29" s="262"/>
      <c r="T29" s="262"/>
      <c r="U29" s="262"/>
      <c r="V29" s="262"/>
      <c r="W29" s="262"/>
      <c r="X29" s="148" t="str">
        <f t="shared" si="0"/>
        <v>FEL</v>
      </c>
      <c r="Y29" s="261">
        <v>20</v>
      </c>
      <c r="Z29" s="261">
        <v>10</v>
      </c>
      <c r="AA29" s="261">
        <v>50</v>
      </c>
      <c r="AB29" s="32" t="e">
        <f>(H29-G29)/(G29+J29+(F29*'Kalkylvärden 1'!$G$9/60))*100</f>
        <v>#DIV/0!</v>
      </c>
      <c r="AC29" s="60" t="e">
        <f t="shared" si="1"/>
        <v>#DIV/0!</v>
      </c>
      <c r="AD29" s="20" t="e">
        <f>('Kalkylvärden 1'!D$97+'Gods UA1'!Y29*('Kalkylvärden 1'!D$98*(1-'Gods UA1'!AA29/100)+'Kalkylvärden 1'!D$99*'Gods UA1'!AA29/100)+'Gods UA1'!Z29*('Kalkylvärden 1'!D$100*(1-'Gods UA1'!AA29/100)+'Kalkylvärden 1'!D$101*'Gods UA1'!AA29/100))*'Gods UA1'!D29/('Gods UA1'!D29+'Gods UA1'!E29)+('Kalkylvärden 1'!E$97+'Gods UA1'!Y29*('Kalkylvärden 1'!E$98*(1-'Gods UA1'!AA29/100)+'Kalkylvärden 1'!E$99*'Gods UA1'!AA29/100)+'Gods UA1'!Z29*('Kalkylvärden 1'!E$100*(1-'Gods UA1'!AA29/100)+'Kalkylvärden 1'!E$101*'Gods UA1'!AA29/100))*'Gods UA1'!E29/('Gods UA1'!D29+'Gods UA1'!E29)</f>
        <v>#DIV/0!</v>
      </c>
      <c r="AE29" s="20">
        <f>'Kalkylvärden 1'!D$103+'Gods UA1'!Y29*'Kalkylvärden 1'!D$104+'Gods UA1'!Z29*'Kalkylvärden 1'!D$105</f>
        <v>54.767843200000002</v>
      </c>
      <c r="AF29" s="34" t="e">
        <f t="shared" si="2"/>
        <v>#DIV/0!</v>
      </c>
      <c r="AG29" s="34" t="e">
        <f>(AE29*G29*60*2)+(F29*AE29*'Kalkylvärden 1'!$G$9*2)+(J29*'Kalkylvärden 1'!$G$10*'Kalkylvärden 1'!M$100)+('Gods UA1'!B29/'Gods UA1'!C29*'Gods UA1'!K29*'Kalkylvärden 1'!$D$11)</f>
        <v>#DIV/0!</v>
      </c>
      <c r="AH29" s="34" t="e">
        <f t="shared" si="3"/>
        <v>#DIV/0!</v>
      </c>
      <c r="AI29" s="34" t="e">
        <f t="shared" si="4"/>
        <v>#DIV/0!</v>
      </c>
      <c r="AJ29" s="20" t="e">
        <f>('Kalkylvärden 1'!D$97+'Gods UA1'!Y29*('Kalkylvärden 1'!D$98*(1-'Gods UA1'!AA29/100)+'Kalkylvärden 1'!D$99*'Gods UA1'!AA29/100)+'Gods UA1'!Z29*('Kalkylvärden 1'!D$100*(1-'Gods UA1'!AA29/100)+'Kalkylvärden 1'!D$101*'Gods UA1'!AA29/100))*'Gods UA1'!D29/('Gods UA1'!D29+'Gods UA1'!E29)+('Kalkylvärden 1'!E$97+'Gods UA1'!Y29*('Kalkylvärden 1'!E$98*(1-'Gods UA1'!AA29/100)+'Kalkylvärden 1'!E$99*'Gods UA1'!AA29/100)+'Gods UA1'!Z29*('Kalkylvärden 1'!E$100*(1-'Gods UA1'!AA29/100)+'Kalkylvärden 1'!E$101*'Gods UA1'!AA29/100))*'Gods UA1'!E29/('Gods UA1'!D29+'Gods UA1'!E29)</f>
        <v>#DIV/0!</v>
      </c>
      <c r="AK29" s="20">
        <f>'Kalkylvärden 1'!D$103+'Gods UA1'!Y29*'Kalkylvärden 1'!D$104+'Gods UA1'!Z29*'Kalkylvärden 1'!D$105</f>
        <v>54.767843200000002</v>
      </c>
      <c r="AL29" s="34" t="e">
        <f t="shared" si="5"/>
        <v>#DIV/0!</v>
      </c>
      <c r="AM29" s="34" t="e">
        <f>(AK29*H29*60*2)+(AK29*F29*'Kalkylvärden 1'!$G$9*2)+(J29*'Kalkylvärden 1'!$G$10*'Kalkylvärden 1'!M$100)+(B29/C29*K29*'Kalkylvärden 1'!$D$11)</f>
        <v>#DIV/0!</v>
      </c>
      <c r="AN29" s="34" t="e">
        <f t="shared" si="6"/>
        <v>#DIV/0!</v>
      </c>
      <c r="AO29" s="34" t="e">
        <f t="shared" si="7"/>
        <v>#DIV/0!</v>
      </c>
      <c r="AP29" s="34" t="e">
        <f t="shared" si="8"/>
        <v>#DIV/0!</v>
      </c>
      <c r="AQ29" s="34" t="e">
        <f t="shared" si="9"/>
        <v>#DIV/0!</v>
      </c>
      <c r="AR29" s="34" t="e">
        <f t="shared" si="10"/>
        <v>#DIV/0!</v>
      </c>
      <c r="AS29" s="34" t="s">
        <v>328</v>
      </c>
      <c r="AT29" s="34" t="e">
        <f t="shared" si="11"/>
        <v>#DIV/0!</v>
      </c>
      <c r="AU29" s="34" t="e">
        <f>(AG29*C29)/((B29*(G29+J29))+(B29*'Kalkylvärden 1'!$G$9/60*F29))</f>
        <v>#DIV/0!</v>
      </c>
      <c r="AV29" s="34" t="e">
        <f t="shared" si="12"/>
        <v>#DIV/0!</v>
      </c>
      <c r="AW29" s="34" t="e">
        <f>(AO29*C29)/((B29*(G29+J29))+(B29*'Kalkylvärden 1'!$G$9/60*F29))</f>
        <v>#DIV/0!</v>
      </c>
      <c r="AX29" s="34" t="e">
        <f>-AC29/100*'Kalkylvärden 1'!$B$23*'Gods UA1'!B29</f>
        <v>#DIV/0!</v>
      </c>
      <c r="AY29" s="34" t="e">
        <f t="shared" si="13"/>
        <v>#DIV/0!</v>
      </c>
      <c r="AZ29" s="34" t="e">
        <f t="shared" si="14"/>
        <v>#DIV/0!</v>
      </c>
      <c r="BA29" s="34" t="e">
        <f t="shared" si="15"/>
        <v>#DIV/0!</v>
      </c>
      <c r="BB29" s="34" t="e">
        <f t="shared" si="16"/>
        <v>#DIV/0!</v>
      </c>
      <c r="BC29" s="34" t="e">
        <f t="shared" si="17"/>
        <v>#DIV/0!</v>
      </c>
      <c r="BD29" s="34" t="e">
        <f t="shared" si="18"/>
        <v>#DIV/0!</v>
      </c>
      <c r="BE29" s="34" t="e">
        <f>IF(AX29&lt;0,((B29+AX29)*(G29-H29))*((L29/100*'Kalkylvärden 1'!B$195)+('Gods UA1'!M29/100*'Gods UA1'!B$168)+('Gods UA1'!N29/100*'Kalkylvärden 1'!B$197)+('Gods UA1'!O29*'Kalkylvärden 1'!B$198)+('Gods UA1'!P29/100*'Kalkylvärden 1'!B$199)+('Gods UA1'!Q29/100*'Kalkylvärden 1'!B$200)+('Gods UA1'!R29*'Kalkylvärden 1'!B$201)+('Gods UA1'!S29/100*'Kalkylvärden 1'!B$202)+('Gods UA1'!T29/100*'Kalkylvärden 1'!B$203)+('Gods UA1'!U29*'Kalkylvärden 1'!B$204)+('Gods UA1'!V29/100*'Kalkylvärden 1'!B$205)+('Gods UA1'!W29/100*'Kalkylvärden 1'!B$206)),(B29*(G29-H29))*((L29/100*'Kalkylvärden 1'!B$195)+('Gods UA1'!M29/100*'Kalkylvärden 1'!B$196)+('Gods UA1'!N29/100*'Kalkylvärden 1'!B$197)+('Gods UA1'!O29*'Kalkylvärden 1'!B$198)+('Gods UA1'!P29/100*'Kalkylvärden 1'!B$199)+('Gods UA1'!Q29/100*'Kalkylvärden 1'!B$200)+('Gods UA1'!R29/100*'Kalkylvärden 1'!B$201)+('Gods UA1'!S29/100*'Kalkylvärden 1'!B$202)+('Gods UA1'!T29/100*'Kalkylvärden 1'!B$203)+('Gods UA1'!U29/100*'Kalkylvärden 1'!B$204)+('Gods UA1'!V29/100*'Kalkylvärden 1'!B$205)+('Gods UA1'!W29/100*'Kalkylvärden 1'!B$206)))</f>
        <v>#DIV/0!</v>
      </c>
      <c r="BF29" s="34" t="e">
        <f>((ABS(AX29/2))*(G29-H29))*((L29/100*'Kalkylvärden 1'!B$195)+('Gods UA1'!M29/100*'Kalkylvärden 1'!B$196)+('Gods UA1'!N29/100*'Kalkylvärden 1'!B$197)+('Gods UA1'!O29/100*'Kalkylvärden 1'!B$198)+('Gods UA1'!P29/100*'Kalkylvärden 1'!B$199)+('Gods UA1'!Q29/100*'Kalkylvärden 1'!B$200)+('Gods UA1'!R29/100*'Kalkylvärden 1'!B$201)+('Gods UA1'!S29/100*'Kalkylvärden 1'!B$202)+('Gods UA1'!T29/100*'Kalkylvärden 1'!B$203)+('Gods UA1'!U29/100*'Kalkylvärden 1'!B$204)+('Gods UA1'!V29/100*'Kalkylvärden 1'!B$205)+('Gods UA1'!W29/100*'Kalkylvärden 1'!B$206))</f>
        <v>#DIV/0!</v>
      </c>
      <c r="BG29" s="34" t="e">
        <f t="shared" si="19"/>
        <v>#DIV/0!</v>
      </c>
      <c r="BH29" s="34" t="e">
        <f>(AX29*E29*'Kalkylvärden 1'!$E$188)</f>
        <v>#DIV/0!</v>
      </c>
      <c r="BI29" s="60" t="e">
        <f>AX29*(D29+E29)*'Kalkylvärden 1'!$E$184</f>
        <v>#DIV/0!</v>
      </c>
      <c r="BJ29" s="60" t="e">
        <f>(AX29*(D29+E29)*'Kalkylvärden 1'!$E$186)</f>
        <v>#DIV/0!</v>
      </c>
      <c r="BK29" s="60" t="e">
        <f>-AX29/Projektspecifikt!$B$7*(D29+E29)*'Kalkylvärden 1'!$E$180</f>
        <v>#DIV/0!</v>
      </c>
      <c r="BL29" s="60"/>
    </row>
    <row r="30" spans="1:64" x14ac:dyDescent="0.25">
      <c r="A30" s="58" t="s">
        <v>617</v>
      </c>
      <c r="B30" s="262"/>
      <c r="C30" s="262"/>
      <c r="D30" s="307"/>
      <c r="E30" s="307"/>
      <c r="F30" s="307"/>
      <c r="G30" s="307"/>
      <c r="H30" s="307"/>
      <c r="I30" s="307"/>
      <c r="J30" s="307"/>
      <c r="K30" s="307"/>
      <c r="L30" s="262"/>
      <c r="M30" s="262"/>
      <c r="N30" s="262"/>
      <c r="O30" s="262"/>
      <c r="P30" s="262"/>
      <c r="Q30" s="262"/>
      <c r="R30" s="262"/>
      <c r="S30" s="262"/>
      <c r="T30" s="262"/>
      <c r="U30" s="262"/>
      <c r="V30" s="262"/>
      <c r="W30" s="262"/>
      <c r="X30" s="148" t="str">
        <f t="shared" si="0"/>
        <v>FEL</v>
      </c>
      <c r="Y30" s="261">
        <v>20</v>
      </c>
      <c r="Z30" s="261">
        <v>10</v>
      </c>
      <c r="AA30" s="261">
        <v>50</v>
      </c>
      <c r="AB30" s="32" t="e">
        <f>(H30-G30)/(G30+J30+(F30*'Kalkylvärden 1'!$G$9/60))*100</f>
        <v>#DIV/0!</v>
      </c>
      <c r="AC30" s="60" t="e">
        <f t="shared" si="1"/>
        <v>#DIV/0!</v>
      </c>
      <c r="AD30" s="20" t="e">
        <f>('Kalkylvärden 1'!D$97+'Gods UA1'!Y30*('Kalkylvärden 1'!D$98*(1-'Gods UA1'!AA30/100)+'Kalkylvärden 1'!D$99*'Gods UA1'!AA30/100)+'Gods UA1'!Z30*('Kalkylvärden 1'!D$100*(1-'Gods UA1'!AA30/100)+'Kalkylvärden 1'!D$101*'Gods UA1'!AA30/100))*'Gods UA1'!D30/('Gods UA1'!D30+'Gods UA1'!E30)+('Kalkylvärden 1'!E$97+'Gods UA1'!Y30*('Kalkylvärden 1'!E$98*(1-'Gods UA1'!AA30/100)+'Kalkylvärden 1'!E$99*'Gods UA1'!AA30/100)+'Gods UA1'!Z30*('Kalkylvärden 1'!E$100*(1-'Gods UA1'!AA30/100)+'Kalkylvärden 1'!E$101*'Gods UA1'!AA30/100))*'Gods UA1'!E30/('Gods UA1'!D30+'Gods UA1'!E30)</f>
        <v>#DIV/0!</v>
      </c>
      <c r="AE30" s="20">
        <f>'Kalkylvärden 1'!D$103+'Gods UA1'!Y30*'Kalkylvärden 1'!D$104+'Gods UA1'!Z30*'Kalkylvärden 1'!D$105</f>
        <v>54.767843200000002</v>
      </c>
      <c r="AF30" s="34" t="e">
        <f t="shared" si="2"/>
        <v>#DIV/0!</v>
      </c>
      <c r="AG30" s="34" t="e">
        <f>(AE30*G30*60*2)+(F30*AE30*'Kalkylvärden 1'!$G$9*2)+(J30*'Kalkylvärden 1'!$G$10*'Kalkylvärden 1'!M$100)+('Gods UA1'!B30/'Gods UA1'!C30*'Gods UA1'!K30*'Kalkylvärden 1'!$D$11)</f>
        <v>#DIV/0!</v>
      </c>
      <c r="AH30" s="34" t="e">
        <f t="shared" si="3"/>
        <v>#DIV/0!</v>
      </c>
      <c r="AI30" s="34" t="e">
        <f t="shared" si="4"/>
        <v>#DIV/0!</v>
      </c>
      <c r="AJ30" s="20" t="e">
        <f>('Kalkylvärden 1'!D$97+'Gods UA1'!Y30*('Kalkylvärden 1'!D$98*(1-'Gods UA1'!AA30/100)+'Kalkylvärden 1'!D$99*'Gods UA1'!AA30/100)+'Gods UA1'!Z30*('Kalkylvärden 1'!D$100*(1-'Gods UA1'!AA30/100)+'Kalkylvärden 1'!D$101*'Gods UA1'!AA30/100))*'Gods UA1'!D30/('Gods UA1'!D30+'Gods UA1'!E30)+('Kalkylvärden 1'!E$97+'Gods UA1'!Y30*('Kalkylvärden 1'!E$98*(1-'Gods UA1'!AA30/100)+'Kalkylvärden 1'!E$99*'Gods UA1'!AA30/100)+'Gods UA1'!Z30*('Kalkylvärden 1'!E$100*(1-'Gods UA1'!AA30/100)+'Kalkylvärden 1'!E$101*'Gods UA1'!AA30/100))*'Gods UA1'!E30/('Gods UA1'!D30+'Gods UA1'!E30)</f>
        <v>#DIV/0!</v>
      </c>
      <c r="AK30" s="20">
        <f>'Kalkylvärden 1'!D$103+'Gods UA1'!Y30*'Kalkylvärden 1'!D$104+'Gods UA1'!Z30*'Kalkylvärden 1'!D$105</f>
        <v>54.767843200000002</v>
      </c>
      <c r="AL30" s="34" t="e">
        <f t="shared" si="5"/>
        <v>#DIV/0!</v>
      </c>
      <c r="AM30" s="34" t="e">
        <f>(AK30*H30*60*2)+(AK30*F30*'Kalkylvärden 1'!$G$9*2)+(J30*'Kalkylvärden 1'!$G$10*'Kalkylvärden 1'!M$100)+(B30/C30*K30*'Kalkylvärden 1'!$D$11)</f>
        <v>#DIV/0!</v>
      </c>
      <c r="AN30" s="34" t="e">
        <f t="shared" si="6"/>
        <v>#DIV/0!</v>
      </c>
      <c r="AO30" s="34" t="e">
        <f t="shared" si="7"/>
        <v>#DIV/0!</v>
      </c>
      <c r="AP30" s="34" t="e">
        <f t="shared" si="8"/>
        <v>#DIV/0!</v>
      </c>
      <c r="AQ30" s="34" t="e">
        <f t="shared" si="9"/>
        <v>#DIV/0!</v>
      </c>
      <c r="AR30" s="34" t="e">
        <f t="shared" si="10"/>
        <v>#DIV/0!</v>
      </c>
      <c r="AS30" s="34" t="s">
        <v>328</v>
      </c>
      <c r="AT30" s="34" t="e">
        <f t="shared" si="11"/>
        <v>#DIV/0!</v>
      </c>
      <c r="AU30" s="34" t="e">
        <f>(AG30*C30)/((B30*(G30+J30))+(B30*'Kalkylvärden 1'!$G$9/60*F30))</f>
        <v>#DIV/0!</v>
      </c>
      <c r="AV30" s="34" t="e">
        <f t="shared" si="12"/>
        <v>#DIV/0!</v>
      </c>
      <c r="AW30" s="34" t="e">
        <f>(AO30*C30)/((B30*(G30+J30))+(B30*'Kalkylvärden 1'!$G$9/60*F30))</f>
        <v>#DIV/0!</v>
      </c>
      <c r="AX30" s="34" t="e">
        <f>-AC30/100*'Kalkylvärden 1'!$B$23*'Gods UA1'!B30</f>
        <v>#DIV/0!</v>
      </c>
      <c r="AY30" s="34" t="e">
        <f t="shared" si="13"/>
        <v>#DIV/0!</v>
      </c>
      <c r="AZ30" s="34" t="e">
        <f t="shared" si="14"/>
        <v>#DIV/0!</v>
      </c>
      <c r="BA30" s="34" t="e">
        <f t="shared" si="15"/>
        <v>#DIV/0!</v>
      </c>
      <c r="BB30" s="34" t="e">
        <f t="shared" si="16"/>
        <v>#DIV/0!</v>
      </c>
      <c r="BC30" s="34" t="e">
        <f t="shared" si="17"/>
        <v>#DIV/0!</v>
      </c>
      <c r="BD30" s="34" t="e">
        <f t="shared" si="18"/>
        <v>#DIV/0!</v>
      </c>
      <c r="BE30" s="34" t="e">
        <f>IF(AX30&lt;0,((B30+AX30)*(G30-H30))*((L30/100*'Kalkylvärden 1'!B$195)+('Gods UA1'!M30/100*'Gods UA1'!B$168)+('Gods UA1'!N30/100*'Kalkylvärden 1'!B$197)+('Gods UA1'!O30*'Kalkylvärden 1'!B$198)+('Gods UA1'!P30/100*'Kalkylvärden 1'!B$199)+('Gods UA1'!Q30/100*'Kalkylvärden 1'!B$200)+('Gods UA1'!R30*'Kalkylvärden 1'!B$201)+('Gods UA1'!S30/100*'Kalkylvärden 1'!B$202)+('Gods UA1'!T30/100*'Kalkylvärden 1'!B$203)+('Gods UA1'!U30*'Kalkylvärden 1'!B$204)+('Gods UA1'!V30/100*'Kalkylvärden 1'!B$205)+('Gods UA1'!W30/100*'Kalkylvärden 1'!B$206)),(B30*(G30-H30))*((L30/100*'Kalkylvärden 1'!B$195)+('Gods UA1'!M30/100*'Kalkylvärden 1'!B$196)+('Gods UA1'!N30/100*'Kalkylvärden 1'!B$197)+('Gods UA1'!O30*'Kalkylvärden 1'!B$198)+('Gods UA1'!P30/100*'Kalkylvärden 1'!B$199)+('Gods UA1'!Q30/100*'Kalkylvärden 1'!B$200)+('Gods UA1'!R30/100*'Kalkylvärden 1'!B$201)+('Gods UA1'!S30/100*'Kalkylvärden 1'!B$202)+('Gods UA1'!T30/100*'Kalkylvärden 1'!B$203)+('Gods UA1'!U30/100*'Kalkylvärden 1'!B$204)+('Gods UA1'!V30/100*'Kalkylvärden 1'!B$205)+('Gods UA1'!W30/100*'Kalkylvärden 1'!B$206)))</f>
        <v>#DIV/0!</v>
      </c>
      <c r="BF30" s="34" t="e">
        <f>((ABS(AX30/2))*(G30-H30))*((L30/100*'Kalkylvärden 1'!B$195)+('Gods UA1'!M30/100*'Kalkylvärden 1'!B$196)+('Gods UA1'!N30/100*'Kalkylvärden 1'!B$197)+('Gods UA1'!O30/100*'Kalkylvärden 1'!B$198)+('Gods UA1'!P30/100*'Kalkylvärden 1'!B$199)+('Gods UA1'!Q30/100*'Kalkylvärden 1'!B$200)+('Gods UA1'!R30/100*'Kalkylvärden 1'!B$201)+('Gods UA1'!S30/100*'Kalkylvärden 1'!B$202)+('Gods UA1'!T30/100*'Kalkylvärden 1'!B$203)+('Gods UA1'!U30/100*'Kalkylvärden 1'!B$204)+('Gods UA1'!V30/100*'Kalkylvärden 1'!B$205)+('Gods UA1'!W30/100*'Kalkylvärden 1'!B$206))</f>
        <v>#DIV/0!</v>
      </c>
      <c r="BG30" s="34" t="e">
        <f t="shared" si="19"/>
        <v>#DIV/0!</v>
      </c>
      <c r="BH30" s="34" t="e">
        <f>(AX30*E30*'Kalkylvärden 1'!$E$188)</f>
        <v>#DIV/0!</v>
      </c>
      <c r="BI30" s="60" t="e">
        <f>AX30*(D30+E30)*'Kalkylvärden 1'!$E$184</f>
        <v>#DIV/0!</v>
      </c>
      <c r="BJ30" s="60" t="e">
        <f>(AX30*(D30+E30)*'Kalkylvärden 1'!$E$186)</f>
        <v>#DIV/0!</v>
      </c>
      <c r="BK30" s="60" t="e">
        <f>-AX30/Projektspecifikt!$B$7*(D30+E30)*'Kalkylvärden 1'!$E$180</f>
        <v>#DIV/0!</v>
      </c>
      <c r="BL30" s="60"/>
    </row>
    <row r="31" spans="1:64" x14ac:dyDescent="0.25">
      <c r="A31" s="58" t="s">
        <v>617</v>
      </c>
      <c r="B31" s="262"/>
      <c r="C31" s="262"/>
      <c r="D31" s="307"/>
      <c r="E31" s="307"/>
      <c r="F31" s="307"/>
      <c r="G31" s="307"/>
      <c r="H31" s="307"/>
      <c r="I31" s="307"/>
      <c r="J31" s="307"/>
      <c r="K31" s="307"/>
      <c r="L31" s="262"/>
      <c r="M31" s="262"/>
      <c r="N31" s="262"/>
      <c r="O31" s="262"/>
      <c r="P31" s="262"/>
      <c r="Q31" s="262"/>
      <c r="R31" s="262"/>
      <c r="S31" s="262"/>
      <c r="T31" s="262"/>
      <c r="U31" s="262"/>
      <c r="V31" s="262"/>
      <c r="W31" s="262"/>
      <c r="X31" s="148" t="str">
        <f t="shared" si="0"/>
        <v>FEL</v>
      </c>
      <c r="Y31" s="261">
        <v>20</v>
      </c>
      <c r="Z31" s="261">
        <v>10</v>
      </c>
      <c r="AA31" s="261">
        <v>50</v>
      </c>
      <c r="AB31" s="32" t="e">
        <f>(H31-G31)/(G31+J31+(F31*'Kalkylvärden 1'!$G$9/60))*100</f>
        <v>#DIV/0!</v>
      </c>
      <c r="AC31" s="60" t="e">
        <f t="shared" si="1"/>
        <v>#DIV/0!</v>
      </c>
      <c r="AD31" s="20" t="e">
        <f>('Kalkylvärden 1'!D$97+'Gods UA1'!Y31*('Kalkylvärden 1'!D$98*(1-'Gods UA1'!AA31/100)+'Kalkylvärden 1'!D$99*'Gods UA1'!AA31/100)+'Gods UA1'!Z31*('Kalkylvärden 1'!D$100*(1-'Gods UA1'!AA31/100)+'Kalkylvärden 1'!D$101*'Gods UA1'!AA31/100))*'Gods UA1'!D31/('Gods UA1'!D31+'Gods UA1'!E31)+('Kalkylvärden 1'!E$97+'Gods UA1'!Y31*('Kalkylvärden 1'!E$98*(1-'Gods UA1'!AA31/100)+'Kalkylvärden 1'!E$99*'Gods UA1'!AA31/100)+'Gods UA1'!Z31*('Kalkylvärden 1'!E$100*(1-'Gods UA1'!AA31/100)+'Kalkylvärden 1'!E$101*'Gods UA1'!AA31/100))*'Gods UA1'!E31/('Gods UA1'!D31+'Gods UA1'!E31)</f>
        <v>#DIV/0!</v>
      </c>
      <c r="AE31" s="20">
        <f>'Kalkylvärden 1'!D$103+'Gods UA1'!Y31*'Kalkylvärden 1'!D$104+'Gods UA1'!Z31*'Kalkylvärden 1'!D$105</f>
        <v>54.767843200000002</v>
      </c>
      <c r="AF31" s="34" t="e">
        <f t="shared" si="2"/>
        <v>#DIV/0!</v>
      </c>
      <c r="AG31" s="34" t="e">
        <f>(AE31*G31*60*2)+(F31*AE31*'Kalkylvärden 1'!$G$9*2)+(J31*'Kalkylvärden 1'!$G$10*'Kalkylvärden 1'!M$100)+('Gods UA1'!B31/'Gods UA1'!C31*'Gods UA1'!K31*'Kalkylvärden 1'!$D$11)</f>
        <v>#DIV/0!</v>
      </c>
      <c r="AH31" s="34" t="e">
        <f t="shared" si="3"/>
        <v>#DIV/0!</v>
      </c>
      <c r="AI31" s="34" t="e">
        <f t="shared" si="4"/>
        <v>#DIV/0!</v>
      </c>
      <c r="AJ31" s="20" t="e">
        <f>('Kalkylvärden 1'!D$97+'Gods UA1'!Y31*('Kalkylvärden 1'!D$98*(1-'Gods UA1'!AA31/100)+'Kalkylvärden 1'!D$99*'Gods UA1'!AA31/100)+'Gods UA1'!Z31*('Kalkylvärden 1'!D$100*(1-'Gods UA1'!AA31/100)+'Kalkylvärden 1'!D$101*'Gods UA1'!AA31/100))*'Gods UA1'!D31/('Gods UA1'!D31+'Gods UA1'!E31)+('Kalkylvärden 1'!E$97+'Gods UA1'!Y31*('Kalkylvärden 1'!E$98*(1-'Gods UA1'!AA31/100)+'Kalkylvärden 1'!E$99*'Gods UA1'!AA31/100)+'Gods UA1'!Z31*('Kalkylvärden 1'!E$100*(1-'Gods UA1'!AA31/100)+'Kalkylvärden 1'!E$101*'Gods UA1'!AA31/100))*'Gods UA1'!E31/('Gods UA1'!D31+'Gods UA1'!E31)</f>
        <v>#DIV/0!</v>
      </c>
      <c r="AK31" s="20">
        <f>'Kalkylvärden 1'!D$103+'Gods UA1'!Y31*'Kalkylvärden 1'!D$104+'Gods UA1'!Z31*'Kalkylvärden 1'!D$105</f>
        <v>54.767843200000002</v>
      </c>
      <c r="AL31" s="34" t="e">
        <f t="shared" si="5"/>
        <v>#DIV/0!</v>
      </c>
      <c r="AM31" s="34" t="e">
        <f>(AK31*H31*60*2)+(AK31*F31*'Kalkylvärden 1'!$G$9*2)+(J31*'Kalkylvärden 1'!$G$10*'Kalkylvärden 1'!M$100)+(B31/C31*K31*'Kalkylvärden 1'!$D$11)</f>
        <v>#DIV/0!</v>
      </c>
      <c r="AN31" s="34" t="e">
        <f t="shared" si="6"/>
        <v>#DIV/0!</v>
      </c>
      <c r="AO31" s="34" t="e">
        <f t="shared" si="7"/>
        <v>#DIV/0!</v>
      </c>
      <c r="AP31" s="34" t="e">
        <f t="shared" si="8"/>
        <v>#DIV/0!</v>
      </c>
      <c r="AQ31" s="34" t="e">
        <f t="shared" si="9"/>
        <v>#DIV/0!</v>
      </c>
      <c r="AR31" s="34" t="e">
        <f t="shared" si="10"/>
        <v>#DIV/0!</v>
      </c>
      <c r="AS31" s="34" t="s">
        <v>328</v>
      </c>
      <c r="AT31" s="34" t="e">
        <f t="shared" si="11"/>
        <v>#DIV/0!</v>
      </c>
      <c r="AU31" s="34" t="e">
        <f>(AG31*C31)/((B31*(G31+J31))+(B31*'Kalkylvärden 1'!$G$9/60*F31))</f>
        <v>#DIV/0!</v>
      </c>
      <c r="AV31" s="34" t="e">
        <f t="shared" si="12"/>
        <v>#DIV/0!</v>
      </c>
      <c r="AW31" s="34" t="e">
        <f>(AO31*C31)/((B31*(G31+J31))+(B31*'Kalkylvärden 1'!$G$9/60*F31))</f>
        <v>#DIV/0!</v>
      </c>
      <c r="AX31" s="34" t="e">
        <f>-AC31/100*'Kalkylvärden 1'!$B$23*'Gods UA1'!B31</f>
        <v>#DIV/0!</v>
      </c>
      <c r="AY31" s="34" t="e">
        <f t="shared" si="13"/>
        <v>#DIV/0!</v>
      </c>
      <c r="AZ31" s="34" t="e">
        <f t="shared" si="14"/>
        <v>#DIV/0!</v>
      </c>
      <c r="BA31" s="34" t="e">
        <f t="shared" si="15"/>
        <v>#DIV/0!</v>
      </c>
      <c r="BB31" s="34" t="e">
        <f t="shared" si="16"/>
        <v>#DIV/0!</v>
      </c>
      <c r="BC31" s="34" t="e">
        <f t="shared" si="17"/>
        <v>#DIV/0!</v>
      </c>
      <c r="BD31" s="34" t="e">
        <f t="shared" si="18"/>
        <v>#DIV/0!</v>
      </c>
      <c r="BE31" s="34" t="e">
        <f>IF(AX31&lt;0,((B31+AX31)*(G31-H31))*((L31/100*'Kalkylvärden 1'!B$195)+('Gods UA1'!M31/100*'Gods UA1'!B$168)+('Gods UA1'!N31/100*'Kalkylvärden 1'!B$197)+('Gods UA1'!O31*'Kalkylvärden 1'!B$198)+('Gods UA1'!P31/100*'Kalkylvärden 1'!B$199)+('Gods UA1'!Q31/100*'Kalkylvärden 1'!B$200)+('Gods UA1'!R31*'Kalkylvärden 1'!B$201)+('Gods UA1'!S31/100*'Kalkylvärden 1'!B$202)+('Gods UA1'!T31/100*'Kalkylvärden 1'!B$203)+('Gods UA1'!U31*'Kalkylvärden 1'!B$204)+('Gods UA1'!V31/100*'Kalkylvärden 1'!B$205)+('Gods UA1'!W31/100*'Kalkylvärden 1'!B$206)),(B31*(G31-H31))*((L31/100*'Kalkylvärden 1'!B$195)+('Gods UA1'!M31/100*'Kalkylvärden 1'!B$196)+('Gods UA1'!N31/100*'Kalkylvärden 1'!B$197)+('Gods UA1'!O31*'Kalkylvärden 1'!B$198)+('Gods UA1'!P31/100*'Kalkylvärden 1'!B$199)+('Gods UA1'!Q31/100*'Kalkylvärden 1'!B$200)+('Gods UA1'!R31/100*'Kalkylvärden 1'!B$201)+('Gods UA1'!S31/100*'Kalkylvärden 1'!B$202)+('Gods UA1'!T31/100*'Kalkylvärden 1'!B$203)+('Gods UA1'!U31/100*'Kalkylvärden 1'!B$204)+('Gods UA1'!V31/100*'Kalkylvärden 1'!B$205)+('Gods UA1'!W31/100*'Kalkylvärden 1'!B$206)))</f>
        <v>#DIV/0!</v>
      </c>
      <c r="BF31" s="34" t="e">
        <f>((ABS(AX31/2))*(G31-H31))*((L31/100*'Kalkylvärden 1'!B$195)+('Gods UA1'!M31/100*'Kalkylvärden 1'!B$196)+('Gods UA1'!N31/100*'Kalkylvärden 1'!B$197)+('Gods UA1'!O31/100*'Kalkylvärden 1'!B$198)+('Gods UA1'!P31/100*'Kalkylvärden 1'!B$199)+('Gods UA1'!Q31/100*'Kalkylvärden 1'!B$200)+('Gods UA1'!R31/100*'Kalkylvärden 1'!B$201)+('Gods UA1'!S31/100*'Kalkylvärden 1'!B$202)+('Gods UA1'!T31/100*'Kalkylvärden 1'!B$203)+('Gods UA1'!U31/100*'Kalkylvärden 1'!B$204)+('Gods UA1'!V31/100*'Kalkylvärden 1'!B$205)+('Gods UA1'!W31/100*'Kalkylvärden 1'!B$206))</f>
        <v>#DIV/0!</v>
      </c>
      <c r="BG31" s="34" t="e">
        <f t="shared" si="19"/>
        <v>#DIV/0!</v>
      </c>
      <c r="BH31" s="34" t="e">
        <f>(AX31*E31*'Kalkylvärden 1'!$E$188)</f>
        <v>#DIV/0!</v>
      </c>
      <c r="BI31" s="60" t="e">
        <f>AX31*(D31+E31)*'Kalkylvärden 1'!$E$184</f>
        <v>#DIV/0!</v>
      </c>
      <c r="BJ31" s="60" t="e">
        <f>(AX31*(D31+E31)*'Kalkylvärden 1'!$E$186)</f>
        <v>#DIV/0!</v>
      </c>
      <c r="BK31" s="60" t="e">
        <f>-AX31/Projektspecifikt!$B$7*(D31+E31)*'Kalkylvärden 1'!$E$180</f>
        <v>#DIV/0!</v>
      </c>
      <c r="BL31" s="60"/>
    </row>
    <row r="32" spans="1:64" x14ac:dyDescent="0.25">
      <c r="A32" s="58" t="s">
        <v>617</v>
      </c>
      <c r="B32" s="262"/>
      <c r="C32" s="262"/>
      <c r="D32" s="307"/>
      <c r="E32" s="307"/>
      <c r="F32" s="307"/>
      <c r="G32" s="307"/>
      <c r="H32" s="307"/>
      <c r="I32" s="307"/>
      <c r="J32" s="307"/>
      <c r="K32" s="307"/>
      <c r="L32" s="262"/>
      <c r="M32" s="262"/>
      <c r="N32" s="262"/>
      <c r="O32" s="262"/>
      <c r="P32" s="262"/>
      <c r="Q32" s="262"/>
      <c r="R32" s="262"/>
      <c r="S32" s="262"/>
      <c r="T32" s="262"/>
      <c r="U32" s="262"/>
      <c r="V32" s="262"/>
      <c r="W32" s="262"/>
      <c r="X32" s="148" t="str">
        <f t="shared" si="0"/>
        <v>FEL</v>
      </c>
      <c r="Y32" s="261">
        <v>20</v>
      </c>
      <c r="Z32" s="261">
        <v>10</v>
      </c>
      <c r="AA32" s="261">
        <v>50</v>
      </c>
      <c r="AB32" s="32" t="e">
        <f>(H32-G32)/(G32+J32+(F32*'Kalkylvärden 1'!$G$9/60))*100</f>
        <v>#DIV/0!</v>
      </c>
      <c r="AC32" s="60" t="e">
        <f t="shared" si="1"/>
        <v>#DIV/0!</v>
      </c>
      <c r="AD32" s="20" t="e">
        <f>('Kalkylvärden 1'!D$97+'Gods UA1'!Y32*('Kalkylvärden 1'!D$98*(1-'Gods UA1'!AA32/100)+'Kalkylvärden 1'!D$99*'Gods UA1'!AA32/100)+'Gods UA1'!Z32*('Kalkylvärden 1'!D$100*(1-'Gods UA1'!AA32/100)+'Kalkylvärden 1'!D$101*'Gods UA1'!AA32/100))*'Gods UA1'!D32/('Gods UA1'!D32+'Gods UA1'!E32)+('Kalkylvärden 1'!E$97+'Gods UA1'!Y32*('Kalkylvärden 1'!E$98*(1-'Gods UA1'!AA32/100)+'Kalkylvärden 1'!E$99*'Gods UA1'!AA32/100)+'Gods UA1'!Z32*('Kalkylvärden 1'!E$100*(1-'Gods UA1'!AA32/100)+'Kalkylvärden 1'!E$101*'Gods UA1'!AA32/100))*'Gods UA1'!E32/('Gods UA1'!D32+'Gods UA1'!E32)</f>
        <v>#DIV/0!</v>
      </c>
      <c r="AE32" s="20">
        <f>'Kalkylvärden 1'!D$103+'Gods UA1'!Y32*'Kalkylvärden 1'!D$104+'Gods UA1'!Z32*'Kalkylvärden 1'!D$105</f>
        <v>54.767843200000002</v>
      </c>
      <c r="AF32" s="34" t="e">
        <f t="shared" si="2"/>
        <v>#DIV/0!</v>
      </c>
      <c r="AG32" s="34" t="e">
        <f>(AE32*G32*60*2)+(F32*AE32*'Kalkylvärden 1'!$G$9*2)+(J32*'Kalkylvärden 1'!$G$10*'Kalkylvärden 1'!M$100)+('Gods UA1'!B32/'Gods UA1'!C32*'Gods UA1'!K32*'Kalkylvärden 1'!$D$11)</f>
        <v>#DIV/0!</v>
      </c>
      <c r="AH32" s="34" t="e">
        <f t="shared" si="3"/>
        <v>#DIV/0!</v>
      </c>
      <c r="AI32" s="34" t="e">
        <f t="shared" si="4"/>
        <v>#DIV/0!</v>
      </c>
      <c r="AJ32" s="20" t="e">
        <f>('Kalkylvärden 1'!D$97+'Gods UA1'!Y32*('Kalkylvärden 1'!D$98*(1-'Gods UA1'!AA32/100)+'Kalkylvärden 1'!D$99*'Gods UA1'!AA32/100)+'Gods UA1'!Z32*('Kalkylvärden 1'!D$100*(1-'Gods UA1'!AA32/100)+'Kalkylvärden 1'!D$101*'Gods UA1'!AA32/100))*'Gods UA1'!D32/('Gods UA1'!D32+'Gods UA1'!E32)+('Kalkylvärden 1'!E$97+'Gods UA1'!Y32*('Kalkylvärden 1'!E$98*(1-'Gods UA1'!AA32/100)+'Kalkylvärden 1'!E$99*'Gods UA1'!AA32/100)+'Gods UA1'!Z32*('Kalkylvärden 1'!E$100*(1-'Gods UA1'!AA32/100)+'Kalkylvärden 1'!E$101*'Gods UA1'!AA32/100))*'Gods UA1'!E32/('Gods UA1'!D32+'Gods UA1'!E32)</f>
        <v>#DIV/0!</v>
      </c>
      <c r="AK32" s="20">
        <f>'Kalkylvärden 1'!D$103+'Gods UA1'!Y32*'Kalkylvärden 1'!D$104+'Gods UA1'!Z32*'Kalkylvärden 1'!D$105</f>
        <v>54.767843200000002</v>
      </c>
      <c r="AL32" s="34" t="e">
        <f t="shared" si="5"/>
        <v>#DIV/0!</v>
      </c>
      <c r="AM32" s="34" t="e">
        <f>(AK32*H32*60*2)+(AK32*F32*'Kalkylvärden 1'!$G$9*2)+(J32*'Kalkylvärden 1'!$G$10*'Kalkylvärden 1'!M$100)+(B32/C32*K32*'Kalkylvärden 1'!$D$11)</f>
        <v>#DIV/0!</v>
      </c>
      <c r="AN32" s="34" t="e">
        <f t="shared" si="6"/>
        <v>#DIV/0!</v>
      </c>
      <c r="AO32" s="34" t="e">
        <f t="shared" si="7"/>
        <v>#DIV/0!</v>
      </c>
      <c r="AP32" s="34" t="e">
        <f t="shared" si="8"/>
        <v>#DIV/0!</v>
      </c>
      <c r="AQ32" s="34" t="e">
        <f t="shared" si="9"/>
        <v>#DIV/0!</v>
      </c>
      <c r="AR32" s="34" t="e">
        <f t="shared" si="10"/>
        <v>#DIV/0!</v>
      </c>
      <c r="AS32" s="34" t="s">
        <v>328</v>
      </c>
      <c r="AT32" s="34" t="e">
        <f t="shared" si="11"/>
        <v>#DIV/0!</v>
      </c>
      <c r="AU32" s="34" t="e">
        <f>(AG32*C32)/((B32*(G32+J32))+(B32*'Kalkylvärden 1'!$G$9/60*F32))</f>
        <v>#DIV/0!</v>
      </c>
      <c r="AV32" s="34" t="e">
        <f t="shared" si="12"/>
        <v>#DIV/0!</v>
      </c>
      <c r="AW32" s="34" t="e">
        <f>(AO32*C32)/((B32*(G32+J32))+(B32*'Kalkylvärden 1'!$G$9/60*F32))</f>
        <v>#DIV/0!</v>
      </c>
      <c r="AX32" s="34" t="e">
        <f>-AC32/100*'Kalkylvärden 1'!$B$23*'Gods UA1'!B32</f>
        <v>#DIV/0!</v>
      </c>
      <c r="AY32" s="34" t="e">
        <f t="shared" si="13"/>
        <v>#DIV/0!</v>
      </c>
      <c r="AZ32" s="34" t="e">
        <f t="shared" si="14"/>
        <v>#DIV/0!</v>
      </c>
      <c r="BA32" s="34" t="e">
        <f t="shared" si="15"/>
        <v>#DIV/0!</v>
      </c>
      <c r="BB32" s="34" t="e">
        <f t="shared" si="16"/>
        <v>#DIV/0!</v>
      </c>
      <c r="BC32" s="34" t="e">
        <f t="shared" si="17"/>
        <v>#DIV/0!</v>
      </c>
      <c r="BD32" s="34" t="e">
        <f t="shared" si="18"/>
        <v>#DIV/0!</v>
      </c>
      <c r="BE32" s="34" t="e">
        <f>IF(AX32&lt;0,((B32+AX32)*(G32-H32))*((L32/100*'Kalkylvärden 1'!B$195)+('Gods UA1'!M32/100*'Gods UA1'!B$168)+('Gods UA1'!N32/100*'Kalkylvärden 1'!B$197)+('Gods UA1'!O32*'Kalkylvärden 1'!B$198)+('Gods UA1'!P32/100*'Kalkylvärden 1'!B$199)+('Gods UA1'!Q32/100*'Kalkylvärden 1'!B$200)+('Gods UA1'!R32*'Kalkylvärden 1'!B$201)+('Gods UA1'!S32/100*'Kalkylvärden 1'!B$202)+('Gods UA1'!T32/100*'Kalkylvärden 1'!B$203)+('Gods UA1'!U32*'Kalkylvärden 1'!B$204)+('Gods UA1'!V32/100*'Kalkylvärden 1'!B$205)+('Gods UA1'!W32/100*'Kalkylvärden 1'!B$206)),(B32*(G32-H32))*((L32/100*'Kalkylvärden 1'!B$195)+('Gods UA1'!M32/100*'Kalkylvärden 1'!B$196)+('Gods UA1'!N32/100*'Kalkylvärden 1'!B$197)+('Gods UA1'!O32*'Kalkylvärden 1'!B$198)+('Gods UA1'!P32/100*'Kalkylvärden 1'!B$199)+('Gods UA1'!Q32/100*'Kalkylvärden 1'!B$200)+('Gods UA1'!R32/100*'Kalkylvärden 1'!B$201)+('Gods UA1'!S32/100*'Kalkylvärden 1'!B$202)+('Gods UA1'!T32/100*'Kalkylvärden 1'!B$203)+('Gods UA1'!U32/100*'Kalkylvärden 1'!B$204)+('Gods UA1'!V32/100*'Kalkylvärden 1'!B$205)+('Gods UA1'!W32/100*'Kalkylvärden 1'!B$206)))</f>
        <v>#DIV/0!</v>
      </c>
      <c r="BF32" s="34" t="e">
        <f>((ABS(AX32/2))*(G32-H32))*((L32/100*'Kalkylvärden 1'!B$195)+('Gods UA1'!M32/100*'Kalkylvärden 1'!B$196)+('Gods UA1'!N32/100*'Kalkylvärden 1'!B$197)+('Gods UA1'!O32/100*'Kalkylvärden 1'!B$198)+('Gods UA1'!P32/100*'Kalkylvärden 1'!B$199)+('Gods UA1'!Q32/100*'Kalkylvärden 1'!B$200)+('Gods UA1'!R32/100*'Kalkylvärden 1'!B$201)+('Gods UA1'!S32/100*'Kalkylvärden 1'!B$202)+('Gods UA1'!T32/100*'Kalkylvärden 1'!B$203)+('Gods UA1'!U32/100*'Kalkylvärden 1'!B$204)+('Gods UA1'!V32/100*'Kalkylvärden 1'!B$205)+('Gods UA1'!W32/100*'Kalkylvärden 1'!B$206))</f>
        <v>#DIV/0!</v>
      </c>
      <c r="BG32" s="34" t="e">
        <f t="shared" si="19"/>
        <v>#DIV/0!</v>
      </c>
      <c r="BH32" s="34" t="e">
        <f>(AX32*E32*'Kalkylvärden 1'!$E$188)</f>
        <v>#DIV/0!</v>
      </c>
      <c r="BI32" s="60" t="e">
        <f>AX32*(D32+E32)*'Kalkylvärden 1'!$E$184</f>
        <v>#DIV/0!</v>
      </c>
      <c r="BJ32" s="60" t="e">
        <f>(AX32*(D32+E32)*'Kalkylvärden 1'!$E$186)</f>
        <v>#DIV/0!</v>
      </c>
      <c r="BK32" s="60" t="e">
        <f>-AX32/Projektspecifikt!$B$7*(D32+E32)*'Kalkylvärden 1'!$E$180</f>
        <v>#DIV/0!</v>
      </c>
      <c r="BL32" s="60"/>
    </row>
    <row r="33" spans="1:64" x14ac:dyDescent="0.25">
      <c r="A33" s="58" t="s">
        <v>617</v>
      </c>
      <c r="B33" s="262"/>
      <c r="C33" s="262"/>
      <c r="D33" s="307"/>
      <c r="E33" s="307"/>
      <c r="F33" s="307"/>
      <c r="G33" s="307"/>
      <c r="H33" s="307"/>
      <c r="I33" s="307"/>
      <c r="J33" s="307"/>
      <c r="K33" s="307"/>
      <c r="L33" s="262"/>
      <c r="M33" s="262"/>
      <c r="N33" s="262"/>
      <c r="O33" s="262"/>
      <c r="P33" s="262"/>
      <c r="Q33" s="262"/>
      <c r="R33" s="262"/>
      <c r="S33" s="262"/>
      <c r="T33" s="262"/>
      <c r="U33" s="262"/>
      <c r="V33" s="262"/>
      <c r="W33" s="262"/>
      <c r="X33" s="148" t="str">
        <f t="shared" si="0"/>
        <v>FEL</v>
      </c>
      <c r="Y33" s="261">
        <v>20</v>
      </c>
      <c r="Z33" s="261">
        <v>10</v>
      </c>
      <c r="AA33" s="261">
        <v>50</v>
      </c>
      <c r="AB33" s="32" t="e">
        <f>(H33-G33)/(G33+J33+(F33*'Kalkylvärden 1'!$G$9/60))*100</f>
        <v>#DIV/0!</v>
      </c>
      <c r="AC33" s="60" t="e">
        <f t="shared" si="1"/>
        <v>#DIV/0!</v>
      </c>
      <c r="AD33" s="20" t="e">
        <f>('Kalkylvärden 1'!D$97+'Gods UA1'!Y33*('Kalkylvärden 1'!D$98*(1-'Gods UA1'!AA33/100)+'Kalkylvärden 1'!D$99*'Gods UA1'!AA33/100)+'Gods UA1'!Z33*('Kalkylvärden 1'!D$100*(1-'Gods UA1'!AA33/100)+'Kalkylvärden 1'!D$101*'Gods UA1'!AA33/100))*'Gods UA1'!D33/('Gods UA1'!D33+'Gods UA1'!E33)+('Kalkylvärden 1'!E$97+'Gods UA1'!Y33*('Kalkylvärden 1'!E$98*(1-'Gods UA1'!AA33/100)+'Kalkylvärden 1'!E$99*'Gods UA1'!AA33/100)+'Gods UA1'!Z33*('Kalkylvärden 1'!E$100*(1-'Gods UA1'!AA33/100)+'Kalkylvärden 1'!E$101*'Gods UA1'!AA33/100))*'Gods UA1'!E33/('Gods UA1'!D33+'Gods UA1'!E33)</f>
        <v>#DIV/0!</v>
      </c>
      <c r="AE33" s="20">
        <f>'Kalkylvärden 1'!D$103+'Gods UA1'!Y33*'Kalkylvärden 1'!D$104+'Gods UA1'!Z33*'Kalkylvärden 1'!D$105</f>
        <v>54.767843200000002</v>
      </c>
      <c r="AF33" s="34" t="e">
        <f t="shared" si="2"/>
        <v>#DIV/0!</v>
      </c>
      <c r="AG33" s="34" t="e">
        <f>(AE33*G33*60*2)+(F33*AE33*'Kalkylvärden 1'!$G$9*2)+(J33*'Kalkylvärden 1'!$G$10*'Kalkylvärden 1'!M$100)+('Gods UA1'!B33/'Gods UA1'!C33*'Gods UA1'!K33*'Kalkylvärden 1'!$D$11)</f>
        <v>#DIV/0!</v>
      </c>
      <c r="AH33" s="34" t="e">
        <f t="shared" si="3"/>
        <v>#DIV/0!</v>
      </c>
      <c r="AI33" s="34" t="e">
        <f t="shared" si="4"/>
        <v>#DIV/0!</v>
      </c>
      <c r="AJ33" s="20" t="e">
        <f>('Kalkylvärden 1'!D$97+'Gods UA1'!Y33*('Kalkylvärden 1'!D$98*(1-'Gods UA1'!AA33/100)+'Kalkylvärden 1'!D$99*'Gods UA1'!AA33/100)+'Gods UA1'!Z33*('Kalkylvärden 1'!D$100*(1-'Gods UA1'!AA33/100)+'Kalkylvärden 1'!D$101*'Gods UA1'!AA33/100))*'Gods UA1'!D33/('Gods UA1'!D33+'Gods UA1'!E33)+('Kalkylvärden 1'!E$97+'Gods UA1'!Y33*('Kalkylvärden 1'!E$98*(1-'Gods UA1'!AA33/100)+'Kalkylvärden 1'!E$99*'Gods UA1'!AA33/100)+'Gods UA1'!Z33*('Kalkylvärden 1'!E$100*(1-'Gods UA1'!AA33/100)+'Kalkylvärden 1'!E$101*'Gods UA1'!AA33/100))*'Gods UA1'!E33/('Gods UA1'!D33+'Gods UA1'!E33)</f>
        <v>#DIV/0!</v>
      </c>
      <c r="AK33" s="20">
        <f>'Kalkylvärden 1'!D$103+'Gods UA1'!Y33*'Kalkylvärden 1'!D$104+'Gods UA1'!Z33*'Kalkylvärden 1'!D$105</f>
        <v>54.767843200000002</v>
      </c>
      <c r="AL33" s="34" t="e">
        <f t="shared" si="5"/>
        <v>#DIV/0!</v>
      </c>
      <c r="AM33" s="34" t="e">
        <f>(AK33*H33*60*2)+(AK33*F33*'Kalkylvärden 1'!$G$9*2)+(J33*'Kalkylvärden 1'!$G$10*'Kalkylvärden 1'!M$100)+(B33/C33*K33*'Kalkylvärden 1'!$D$11)</f>
        <v>#DIV/0!</v>
      </c>
      <c r="AN33" s="34" t="e">
        <f t="shared" si="6"/>
        <v>#DIV/0!</v>
      </c>
      <c r="AO33" s="34" t="e">
        <f t="shared" si="7"/>
        <v>#DIV/0!</v>
      </c>
      <c r="AP33" s="34" t="e">
        <f t="shared" si="8"/>
        <v>#DIV/0!</v>
      </c>
      <c r="AQ33" s="34" t="e">
        <f t="shared" si="9"/>
        <v>#DIV/0!</v>
      </c>
      <c r="AR33" s="34" t="e">
        <f t="shared" si="10"/>
        <v>#DIV/0!</v>
      </c>
      <c r="AS33" s="34" t="s">
        <v>328</v>
      </c>
      <c r="AT33" s="34" t="e">
        <f t="shared" si="11"/>
        <v>#DIV/0!</v>
      </c>
      <c r="AU33" s="34" t="e">
        <f>(AG33*C33)/((B33*(G33+J33))+(B33*'Kalkylvärden 1'!$G$9/60*F33))</f>
        <v>#DIV/0!</v>
      </c>
      <c r="AV33" s="34" t="e">
        <f t="shared" si="12"/>
        <v>#DIV/0!</v>
      </c>
      <c r="AW33" s="34" t="e">
        <f>(AO33*C33)/((B33*(G33+J33))+(B33*'Kalkylvärden 1'!$G$9/60*F33))</f>
        <v>#DIV/0!</v>
      </c>
      <c r="AX33" s="34" t="e">
        <f>-AC33/100*'Kalkylvärden 1'!$B$23*'Gods UA1'!B33</f>
        <v>#DIV/0!</v>
      </c>
      <c r="AY33" s="34" t="e">
        <f t="shared" si="13"/>
        <v>#DIV/0!</v>
      </c>
      <c r="AZ33" s="34" t="e">
        <f t="shared" si="14"/>
        <v>#DIV/0!</v>
      </c>
      <c r="BA33" s="34" t="e">
        <f t="shared" si="15"/>
        <v>#DIV/0!</v>
      </c>
      <c r="BB33" s="34" t="e">
        <f t="shared" si="16"/>
        <v>#DIV/0!</v>
      </c>
      <c r="BC33" s="34" t="e">
        <f t="shared" si="17"/>
        <v>#DIV/0!</v>
      </c>
      <c r="BD33" s="34" t="e">
        <f t="shared" si="18"/>
        <v>#DIV/0!</v>
      </c>
      <c r="BE33" s="34" t="e">
        <f>IF(AX33&lt;0,((B33+AX33)*(G33-H33))*((L33/100*'Kalkylvärden 1'!B$195)+('Gods UA1'!M33/100*'Gods UA1'!B$168)+('Gods UA1'!N33/100*'Kalkylvärden 1'!B$197)+('Gods UA1'!O33*'Kalkylvärden 1'!B$198)+('Gods UA1'!P33/100*'Kalkylvärden 1'!B$199)+('Gods UA1'!Q33/100*'Kalkylvärden 1'!B$200)+('Gods UA1'!R33*'Kalkylvärden 1'!B$201)+('Gods UA1'!S33/100*'Kalkylvärden 1'!B$202)+('Gods UA1'!T33/100*'Kalkylvärden 1'!B$203)+('Gods UA1'!U33*'Kalkylvärden 1'!B$204)+('Gods UA1'!V33/100*'Kalkylvärden 1'!B$205)+('Gods UA1'!W33/100*'Kalkylvärden 1'!B$206)),(B33*(G33-H33))*((L33/100*'Kalkylvärden 1'!B$195)+('Gods UA1'!M33/100*'Kalkylvärden 1'!B$196)+('Gods UA1'!N33/100*'Kalkylvärden 1'!B$197)+('Gods UA1'!O33*'Kalkylvärden 1'!B$198)+('Gods UA1'!P33/100*'Kalkylvärden 1'!B$199)+('Gods UA1'!Q33/100*'Kalkylvärden 1'!B$200)+('Gods UA1'!R33/100*'Kalkylvärden 1'!B$201)+('Gods UA1'!S33/100*'Kalkylvärden 1'!B$202)+('Gods UA1'!T33/100*'Kalkylvärden 1'!B$203)+('Gods UA1'!U33/100*'Kalkylvärden 1'!B$204)+('Gods UA1'!V33/100*'Kalkylvärden 1'!B$205)+('Gods UA1'!W33/100*'Kalkylvärden 1'!B$206)))</f>
        <v>#DIV/0!</v>
      </c>
      <c r="BF33" s="34" t="e">
        <f>((ABS(AX33/2))*(G33-H33))*((L33/100*'Kalkylvärden 1'!B$195)+('Gods UA1'!M33/100*'Kalkylvärden 1'!B$196)+('Gods UA1'!N33/100*'Kalkylvärden 1'!B$197)+('Gods UA1'!O33/100*'Kalkylvärden 1'!B$198)+('Gods UA1'!P33/100*'Kalkylvärden 1'!B$199)+('Gods UA1'!Q33/100*'Kalkylvärden 1'!B$200)+('Gods UA1'!R33/100*'Kalkylvärden 1'!B$201)+('Gods UA1'!S33/100*'Kalkylvärden 1'!B$202)+('Gods UA1'!T33/100*'Kalkylvärden 1'!B$203)+('Gods UA1'!U33/100*'Kalkylvärden 1'!B$204)+('Gods UA1'!V33/100*'Kalkylvärden 1'!B$205)+('Gods UA1'!W33/100*'Kalkylvärden 1'!B$206))</f>
        <v>#DIV/0!</v>
      </c>
      <c r="BG33" s="34" t="e">
        <f t="shared" si="19"/>
        <v>#DIV/0!</v>
      </c>
      <c r="BH33" s="34" t="e">
        <f>(AX33*E33*'Kalkylvärden 1'!$E$188)</f>
        <v>#DIV/0!</v>
      </c>
      <c r="BI33" s="60" t="e">
        <f>AX33*(D33+E33)*'Kalkylvärden 1'!$E$184</f>
        <v>#DIV/0!</v>
      </c>
      <c r="BJ33" s="60" t="e">
        <f>(AX33*(D33+E33)*'Kalkylvärden 1'!$E$186)</f>
        <v>#DIV/0!</v>
      </c>
      <c r="BK33" s="60" t="e">
        <f>-AX33/Projektspecifikt!$B$7*(D33+E33)*'Kalkylvärden 1'!$E$180</f>
        <v>#DIV/0!</v>
      </c>
      <c r="BL33" s="60"/>
    </row>
    <row r="34" spans="1:64" x14ac:dyDescent="0.25">
      <c r="A34" s="58" t="s">
        <v>617</v>
      </c>
      <c r="B34" s="262"/>
      <c r="C34" s="262"/>
      <c r="D34" s="307"/>
      <c r="E34" s="307"/>
      <c r="F34" s="307"/>
      <c r="G34" s="307"/>
      <c r="H34" s="307"/>
      <c r="I34" s="307"/>
      <c r="J34" s="307"/>
      <c r="K34" s="307"/>
      <c r="L34" s="262"/>
      <c r="M34" s="262"/>
      <c r="N34" s="262"/>
      <c r="O34" s="262"/>
      <c r="P34" s="262"/>
      <c r="Q34" s="262"/>
      <c r="R34" s="262"/>
      <c r="S34" s="262"/>
      <c r="T34" s="262"/>
      <c r="U34" s="262"/>
      <c r="V34" s="262"/>
      <c r="W34" s="262"/>
      <c r="X34" s="148" t="str">
        <f t="shared" si="0"/>
        <v>FEL</v>
      </c>
      <c r="Y34" s="261">
        <v>20</v>
      </c>
      <c r="Z34" s="261">
        <v>10</v>
      </c>
      <c r="AA34" s="261">
        <v>50</v>
      </c>
      <c r="AB34" s="32" t="e">
        <f>(H34-G34)/(G34+J34+(F34*'Kalkylvärden 1'!$G$9/60))*100</f>
        <v>#DIV/0!</v>
      </c>
      <c r="AC34" s="60" t="e">
        <f t="shared" si="1"/>
        <v>#DIV/0!</v>
      </c>
      <c r="AD34" s="20" t="e">
        <f>('Kalkylvärden 1'!D$97+'Gods UA1'!Y34*('Kalkylvärden 1'!D$98*(1-'Gods UA1'!AA34/100)+'Kalkylvärden 1'!D$99*'Gods UA1'!AA34/100)+'Gods UA1'!Z34*('Kalkylvärden 1'!D$100*(1-'Gods UA1'!AA34/100)+'Kalkylvärden 1'!D$101*'Gods UA1'!AA34/100))*'Gods UA1'!D34/('Gods UA1'!D34+'Gods UA1'!E34)+('Kalkylvärden 1'!E$97+'Gods UA1'!Y34*('Kalkylvärden 1'!E$98*(1-'Gods UA1'!AA34/100)+'Kalkylvärden 1'!E$99*'Gods UA1'!AA34/100)+'Gods UA1'!Z34*('Kalkylvärden 1'!E$100*(1-'Gods UA1'!AA34/100)+'Kalkylvärden 1'!E$101*'Gods UA1'!AA34/100))*'Gods UA1'!E34/('Gods UA1'!D34+'Gods UA1'!E34)</f>
        <v>#DIV/0!</v>
      </c>
      <c r="AE34" s="20">
        <f>'Kalkylvärden 1'!D$103+'Gods UA1'!Y34*'Kalkylvärden 1'!D$104+'Gods UA1'!Z34*'Kalkylvärden 1'!D$105</f>
        <v>54.767843200000002</v>
      </c>
      <c r="AF34" s="34" t="e">
        <f t="shared" si="2"/>
        <v>#DIV/0!</v>
      </c>
      <c r="AG34" s="34" t="e">
        <f>(AE34*G34*60*2)+(F34*AE34*'Kalkylvärden 1'!$G$9*2)+(J34*'Kalkylvärden 1'!$G$10*'Kalkylvärden 1'!M$100)+('Gods UA1'!B34/'Gods UA1'!C34*'Gods UA1'!K34*'Kalkylvärden 1'!$D$11)</f>
        <v>#DIV/0!</v>
      </c>
      <c r="AH34" s="34" t="e">
        <f t="shared" si="3"/>
        <v>#DIV/0!</v>
      </c>
      <c r="AI34" s="34" t="e">
        <f t="shared" si="4"/>
        <v>#DIV/0!</v>
      </c>
      <c r="AJ34" s="20" t="e">
        <f>('Kalkylvärden 1'!D$97+'Gods UA1'!Y34*('Kalkylvärden 1'!D$98*(1-'Gods UA1'!AA34/100)+'Kalkylvärden 1'!D$99*'Gods UA1'!AA34/100)+'Gods UA1'!Z34*('Kalkylvärden 1'!D$100*(1-'Gods UA1'!AA34/100)+'Kalkylvärden 1'!D$101*'Gods UA1'!AA34/100))*'Gods UA1'!D34/('Gods UA1'!D34+'Gods UA1'!E34)+('Kalkylvärden 1'!E$97+'Gods UA1'!Y34*('Kalkylvärden 1'!E$98*(1-'Gods UA1'!AA34/100)+'Kalkylvärden 1'!E$99*'Gods UA1'!AA34/100)+'Gods UA1'!Z34*('Kalkylvärden 1'!E$100*(1-'Gods UA1'!AA34/100)+'Kalkylvärden 1'!E$101*'Gods UA1'!AA34/100))*'Gods UA1'!E34/('Gods UA1'!D34+'Gods UA1'!E34)</f>
        <v>#DIV/0!</v>
      </c>
      <c r="AK34" s="20">
        <f>'Kalkylvärden 1'!D$103+'Gods UA1'!Y34*'Kalkylvärden 1'!D$104+'Gods UA1'!Z34*'Kalkylvärden 1'!D$105</f>
        <v>54.767843200000002</v>
      </c>
      <c r="AL34" s="34" t="e">
        <f t="shared" si="5"/>
        <v>#DIV/0!</v>
      </c>
      <c r="AM34" s="34" t="e">
        <f>(AK34*H34*60*2)+(AK34*F34*'Kalkylvärden 1'!$G$9*2)+(J34*'Kalkylvärden 1'!$G$10*'Kalkylvärden 1'!M$100)+(B34/C34*K34*'Kalkylvärden 1'!$D$11)</f>
        <v>#DIV/0!</v>
      </c>
      <c r="AN34" s="34" t="e">
        <f t="shared" si="6"/>
        <v>#DIV/0!</v>
      </c>
      <c r="AO34" s="34" t="e">
        <f t="shared" si="7"/>
        <v>#DIV/0!</v>
      </c>
      <c r="AP34" s="34" t="e">
        <f t="shared" si="8"/>
        <v>#DIV/0!</v>
      </c>
      <c r="AQ34" s="34" t="e">
        <f t="shared" si="9"/>
        <v>#DIV/0!</v>
      </c>
      <c r="AR34" s="34" t="e">
        <f t="shared" si="10"/>
        <v>#DIV/0!</v>
      </c>
      <c r="AS34" s="34" t="s">
        <v>328</v>
      </c>
      <c r="AT34" s="34" t="e">
        <f t="shared" si="11"/>
        <v>#DIV/0!</v>
      </c>
      <c r="AU34" s="34" t="e">
        <f>(AG34*C34)/((B34*(G34+J34))+(B34*'Kalkylvärden 1'!$G$9/60*F34))</f>
        <v>#DIV/0!</v>
      </c>
      <c r="AV34" s="34" t="e">
        <f t="shared" si="12"/>
        <v>#DIV/0!</v>
      </c>
      <c r="AW34" s="34" t="e">
        <f>(AO34*C34)/((B34*(G34+J34))+(B34*'Kalkylvärden 1'!$G$9/60*F34))</f>
        <v>#DIV/0!</v>
      </c>
      <c r="AX34" s="34" t="e">
        <f>-AC34/100*'Kalkylvärden 1'!$B$23*'Gods UA1'!B34</f>
        <v>#DIV/0!</v>
      </c>
      <c r="AY34" s="34" t="e">
        <f t="shared" si="13"/>
        <v>#DIV/0!</v>
      </c>
      <c r="AZ34" s="34" t="e">
        <f t="shared" si="14"/>
        <v>#DIV/0!</v>
      </c>
      <c r="BA34" s="34" t="e">
        <f t="shared" si="15"/>
        <v>#DIV/0!</v>
      </c>
      <c r="BB34" s="34" t="e">
        <f t="shared" si="16"/>
        <v>#DIV/0!</v>
      </c>
      <c r="BC34" s="34" t="e">
        <f t="shared" si="17"/>
        <v>#DIV/0!</v>
      </c>
      <c r="BD34" s="34" t="e">
        <f t="shared" si="18"/>
        <v>#DIV/0!</v>
      </c>
      <c r="BE34" s="34" t="e">
        <f>IF(AX34&lt;0,((B34+AX34)*(G34-H34))*((L34/100*'Kalkylvärden 1'!B$195)+('Gods UA1'!M34/100*'Gods UA1'!B$168)+('Gods UA1'!N34/100*'Kalkylvärden 1'!B$197)+('Gods UA1'!O34*'Kalkylvärden 1'!B$198)+('Gods UA1'!P34/100*'Kalkylvärden 1'!B$199)+('Gods UA1'!Q34/100*'Kalkylvärden 1'!B$200)+('Gods UA1'!R34*'Kalkylvärden 1'!B$201)+('Gods UA1'!S34/100*'Kalkylvärden 1'!B$202)+('Gods UA1'!T34/100*'Kalkylvärden 1'!B$203)+('Gods UA1'!U34*'Kalkylvärden 1'!B$204)+('Gods UA1'!V34/100*'Kalkylvärden 1'!B$205)+('Gods UA1'!W34/100*'Kalkylvärden 1'!B$206)),(B34*(G34-H34))*((L34/100*'Kalkylvärden 1'!B$195)+('Gods UA1'!M34/100*'Kalkylvärden 1'!B$196)+('Gods UA1'!N34/100*'Kalkylvärden 1'!B$197)+('Gods UA1'!O34*'Kalkylvärden 1'!B$198)+('Gods UA1'!P34/100*'Kalkylvärden 1'!B$199)+('Gods UA1'!Q34/100*'Kalkylvärden 1'!B$200)+('Gods UA1'!R34/100*'Kalkylvärden 1'!B$201)+('Gods UA1'!S34/100*'Kalkylvärden 1'!B$202)+('Gods UA1'!T34/100*'Kalkylvärden 1'!B$203)+('Gods UA1'!U34/100*'Kalkylvärden 1'!B$204)+('Gods UA1'!V34/100*'Kalkylvärden 1'!B$205)+('Gods UA1'!W34/100*'Kalkylvärden 1'!B$206)))</f>
        <v>#DIV/0!</v>
      </c>
      <c r="BF34" s="34" t="e">
        <f>((ABS(AX34/2))*(G34-H34))*((L34/100*'Kalkylvärden 1'!B$195)+('Gods UA1'!M34/100*'Kalkylvärden 1'!B$196)+('Gods UA1'!N34/100*'Kalkylvärden 1'!B$197)+('Gods UA1'!O34/100*'Kalkylvärden 1'!B$198)+('Gods UA1'!P34/100*'Kalkylvärden 1'!B$199)+('Gods UA1'!Q34/100*'Kalkylvärden 1'!B$200)+('Gods UA1'!R34/100*'Kalkylvärden 1'!B$201)+('Gods UA1'!S34/100*'Kalkylvärden 1'!B$202)+('Gods UA1'!T34/100*'Kalkylvärden 1'!B$203)+('Gods UA1'!U34/100*'Kalkylvärden 1'!B$204)+('Gods UA1'!V34/100*'Kalkylvärden 1'!B$205)+('Gods UA1'!W34/100*'Kalkylvärden 1'!B$206))</f>
        <v>#DIV/0!</v>
      </c>
      <c r="BG34" s="34" t="e">
        <f t="shared" si="19"/>
        <v>#DIV/0!</v>
      </c>
      <c r="BH34" s="34" t="e">
        <f>(AX34*E34*'Kalkylvärden 1'!$E$188)</f>
        <v>#DIV/0!</v>
      </c>
      <c r="BI34" s="60" t="e">
        <f>AX34*(D34+E34)*'Kalkylvärden 1'!$E$184</f>
        <v>#DIV/0!</v>
      </c>
      <c r="BJ34" s="60" t="e">
        <f>(AX34*(D34+E34)*'Kalkylvärden 1'!$E$186)</f>
        <v>#DIV/0!</v>
      </c>
      <c r="BK34" s="60" t="e">
        <f>-AX34/Projektspecifikt!$B$7*(D34+E34)*'Kalkylvärden 1'!$E$180</f>
        <v>#DIV/0!</v>
      </c>
      <c r="BL34" s="60"/>
    </row>
    <row r="35" spans="1:64" x14ac:dyDescent="0.25">
      <c r="A35" s="58" t="s">
        <v>617</v>
      </c>
      <c r="B35" s="262"/>
      <c r="C35" s="262"/>
      <c r="D35" s="307"/>
      <c r="E35" s="307"/>
      <c r="F35" s="307"/>
      <c r="G35" s="307"/>
      <c r="H35" s="307"/>
      <c r="I35" s="307"/>
      <c r="J35" s="307"/>
      <c r="K35" s="307"/>
      <c r="L35" s="262"/>
      <c r="M35" s="262"/>
      <c r="N35" s="262"/>
      <c r="O35" s="262"/>
      <c r="P35" s="262"/>
      <c r="Q35" s="262"/>
      <c r="R35" s="262"/>
      <c r="S35" s="262"/>
      <c r="T35" s="262"/>
      <c r="U35" s="262"/>
      <c r="V35" s="262"/>
      <c r="W35" s="262"/>
      <c r="X35" s="148" t="str">
        <f t="shared" si="0"/>
        <v>FEL</v>
      </c>
      <c r="Y35" s="261">
        <v>20</v>
      </c>
      <c r="Z35" s="261">
        <v>10</v>
      </c>
      <c r="AA35" s="261">
        <v>50</v>
      </c>
      <c r="AB35" s="32" t="e">
        <f>(H35-G35)/(G35+J35+(F35*'Kalkylvärden 1'!$G$9/60))*100</f>
        <v>#DIV/0!</v>
      </c>
      <c r="AC35" s="60" t="e">
        <f t="shared" si="1"/>
        <v>#DIV/0!</v>
      </c>
      <c r="AD35" s="20" t="e">
        <f>('Kalkylvärden 1'!D$97+'Gods UA1'!Y35*('Kalkylvärden 1'!D$98*(1-'Gods UA1'!AA35/100)+'Kalkylvärden 1'!D$99*'Gods UA1'!AA35/100)+'Gods UA1'!Z35*('Kalkylvärden 1'!D$100*(1-'Gods UA1'!AA35/100)+'Kalkylvärden 1'!D$101*'Gods UA1'!AA35/100))*'Gods UA1'!D35/('Gods UA1'!D35+'Gods UA1'!E35)+('Kalkylvärden 1'!E$97+'Gods UA1'!Y35*('Kalkylvärden 1'!E$98*(1-'Gods UA1'!AA35/100)+'Kalkylvärden 1'!E$99*'Gods UA1'!AA35/100)+'Gods UA1'!Z35*('Kalkylvärden 1'!E$100*(1-'Gods UA1'!AA35/100)+'Kalkylvärden 1'!E$101*'Gods UA1'!AA35/100))*'Gods UA1'!E35/('Gods UA1'!D35+'Gods UA1'!E35)</f>
        <v>#DIV/0!</v>
      </c>
      <c r="AE35" s="20">
        <f>'Kalkylvärden 1'!D$103+'Gods UA1'!Y35*'Kalkylvärden 1'!D$104+'Gods UA1'!Z35*'Kalkylvärden 1'!D$105</f>
        <v>54.767843200000002</v>
      </c>
      <c r="AF35" s="34" t="e">
        <f t="shared" si="2"/>
        <v>#DIV/0!</v>
      </c>
      <c r="AG35" s="34" t="e">
        <f>(AE35*G35*60*2)+(F35*AE35*'Kalkylvärden 1'!$G$9*2)+(J35*'Kalkylvärden 1'!$G$10*'Kalkylvärden 1'!M$100)+('Gods UA1'!B35/'Gods UA1'!C35*'Gods UA1'!K35*'Kalkylvärden 1'!$D$11)</f>
        <v>#DIV/0!</v>
      </c>
      <c r="AH35" s="34" t="e">
        <f t="shared" si="3"/>
        <v>#DIV/0!</v>
      </c>
      <c r="AI35" s="34" t="e">
        <f t="shared" si="4"/>
        <v>#DIV/0!</v>
      </c>
      <c r="AJ35" s="20" t="e">
        <f>('Kalkylvärden 1'!D$97+'Gods UA1'!Y35*('Kalkylvärden 1'!D$98*(1-'Gods UA1'!AA35/100)+'Kalkylvärden 1'!D$99*'Gods UA1'!AA35/100)+'Gods UA1'!Z35*('Kalkylvärden 1'!D$100*(1-'Gods UA1'!AA35/100)+'Kalkylvärden 1'!D$101*'Gods UA1'!AA35/100))*'Gods UA1'!D35/('Gods UA1'!D35+'Gods UA1'!E35)+('Kalkylvärden 1'!E$97+'Gods UA1'!Y35*('Kalkylvärden 1'!E$98*(1-'Gods UA1'!AA35/100)+'Kalkylvärden 1'!E$99*'Gods UA1'!AA35/100)+'Gods UA1'!Z35*('Kalkylvärden 1'!E$100*(1-'Gods UA1'!AA35/100)+'Kalkylvärden 1'!E$101*'Gods UA1'!AA35/100))*'Gods UA1'!E35/('Gods UA1'!D35+'Gods UA1'!E35)</f>
        <v>#DIV/0!</v>
      </c>
      <c r="AK35" s="20">
        <f>'Kalkylvärden 1'!D$103+'Gods UA1'!Y35*'Kalkylvärden 1'!D$104+'Gods UA1'!Z35*'Kalkylvärden 1'!D$105</f>
        <v>54.767843200000002</v>
      </c>
      <c r="AL35" s="34" t="e">
        <f t="shared" si="5"/>
        <v>#DIV/0!</v>
      </c>
      <c r="AM35" s="34" t="e">
        <f>(AK35*H35*60*2)+(AK35*F35*'Kalkylvärden 1'!$G$9*2)+(J35*'Kalkylvärden 1'!$G$10*'Kalkylvärden 1'!M$100)+(B35/C35*K35*'Kalkylvärden 1'!$D$11)</f>
        <v>#DIV/0!</v>
      </c>
      <c r="AN35" s="34" t="e">
        <f t="shared" si="6"/>
        <v>#DIV/0!</v>
      </c>
      <c r="AO35" s="34" t="e">
        <f t="shared" si="7"/>
        <v>#DIV/0!</v>
      </c>
      <c r="AP35" s="34" t="e">
        <f t="shared" si="8"/>
        <v>#DIV/0!</v>
      </c>
      <c r="AQ35" s="34" t="e">
        <f t="shared" si="9"/>
        <v>#DIV/0!</v>
      </c>
      <c r="AR35" s="34" t="e">
        <f t="shared" si="10"/>
        <v>#DIV/0!</v>
      </c>
      <c r="AS35" s="34" t="s">
        <v>328</v>
      </c>
      <c r="AT35" s="34" t="e">
        <f t="shared" si="11"/>
        <v>#DIV/0!</v>
      </c>
      <c r="AU35" s="34" t="e">
        <f>(AG35*C35)/((B35*(G35+J35))+(B35*'Kalkylvärden 1'!$G$9/60*F35))</f>
        <v>#DIV/0!</v>
      </c>
      <c r="AV35" s="34" t="e">
        <f t="shared" si="12"/>
        <v>#DIV/0!</v>
      </c>
      <c r="AW35" s="34" t="e">
        <f>(AO35*C35)/((B35*(G35+J35))+(B35*'Kalkylvärden 1'!$G$9/60*F35))</f>
        <v>#DIV/0!</v>
      </c>
      <c r="AX35" s="34" t="e">
        <f>-AC35/100*'Kalkylvärden 1'!$B$23*'Gods UA1'!B35</f>
        <v>#DIV/0!</v>
      </c>
      <c r="AY35" s="34" t="e">
        <f t="shared" si="13"/>
        <v>#DIV/0!</v>
      </c>
      <c r="AZ35" s="34" t="e">
        <f t="shared" si="14"/>
        <v>#DIV/0!</v>
      </c>
      <c r="BA35" s="34" t="e">
        <f t="shared" si="15"/>
        <v>#DIV/0!</v>
      </c>
      <c r="BB35" s="34" t="e">
        <f t="shared" si="16"/>
        <v>#DIV/0!</v>
      </c>
      <c r="BC35" s="34" t="e">
        <f t="shared" si="17"/>
        <v>#DIV/0!</v>
      </c>
      <c r="BD35" s="34" t="e">
        <f t="shared" si="18"/>
        <v>#DIV/0!</v>
      </c>
      <c r="BE35" s="34" t="e">
        <f>IF(AX35&lt;0,((B35+AX35)*(G35-H35))*((L35/100*'Kalkylvärden 1'!B$195)+('Gods UA1'!M35/100*'Gods UA1'!B$168)+('Gods UA1'!N35/100*'Kalkylvärden 1'!B$197)+('Gods UA1'!O35*'Kalkylvärden 1'!B$198)+('Gods UA1'!P35/100*'Kalkylvärden 1'!B$199)+('Gods UA1'!Q35/100*'Kalkylvärden 1'!B$200)+('Gods UA1'!R35*'Kalkylvärden 1'!B$201)+('Gods UA1'!S35/100*'Kalkylvärden 1'!B$202)+('Gods UA1'!T35/100*'Kalkylvärden 1'!B$203)+('Gods UA1'!U35*'Kalkylvärden 1'!B$204)+('Gods UA1'!V35/100*'Kalkylvärden 1'!B$205)+('Gods UA1'!W35/100*'Kalkylvärden 1'!B$206)),(B35*(G35-H35))*((L35/100*'Kalkylvärden 1'!B$195)+('Gods UA1'!M35/100*'Kalkylvärden 1'!B$196)+('Gods UA1'!N35/100*'Kalkylvärden 1'!B$197)+('Gods UA1'!O35*'Kalkylvärden 1'!B$198)+('Gods UA1'!P35/100*'Kalkylvärden 1'!B$199)+('Gods UA1'!Q35/100*'Kalkylvärden 1'!B$200)+('Gods UA1'!R35/100*'Kalkylvärden 1'!B$201)+('Gods UA1'!S35/100*'Kalkylvärden 1'!B$202)+('Gods UA1'!T35/100*'Kalkylvärden 1'!B$203)+('Gods UA1'!U35/100*'Kalkylvärden 1'!B$204)+('Gods UA1'!V35/100*'Kalkylvärden 1'!B$205)+('Gods UA1'!W35/100*'Kalkylvärden 1'!B$206)))</f>
        <v>#DIV/0!</v>
      </c>
      <c r="BF35" s="34" t="e">
        <f>((ABS(AX35/2))*(G35-H35))*((L35/100*'Kalkylvärden 1'!B$195)+('Gods UA1'!M35/100*'Kalkylvärden 1'!B$196)+('Gods UA1'!N35/100*'Kalkylvärden 1'!B$197)+('Gods UA1'!O35/100*'Kalkylvärden 1'!B$198)+('Gods UA1'!P35/100*'Kalkylvärden 1'!B$199)+('Gods UA1'!Q35/100*'Kalkylvärden 1'!B$200)+('Gods UA1'!R35/100*'Kalkylvärden 1'!B$201)+('Gods UA1'!S35/100*'Kalkylvärden 1'!B$202)+('Gods UA1'!T35/100*'Kalkylvärden 1'!B$203)+('Gods UA1'!U35/100*'Kalkylvärden 1'!B$204)+('Gods UA1'!V35/100*'Kalkylvärden 1'!B$205)+('Gods UA1'!W35/100*'Kalkylvärden 1'!B$206))</f>
        <v>#DIV/0!</v>
      </c>
      <c r="BG35" s="34" t="e">
        <f t="shared" si="19"/>
        <v>#DIV/0!</v>
      </c>
      <c r="BH35" s="34" t="e">
        <f>(AX35*E35*'Kalkylvärden 1'!$E$188)</f>
        <v>#DIV/0!</v>
      </c>
      <c r="BI35" s="60" t="e">
        <f>AX35*(D35+E35)*'Kalkylvärden 1'!$E$184</f>
        <v>#DIV/0!</v>
      </c>
      <c r="BJ35" s="60" t="e">
        <f>(AX35*(D35+E35)*'Kalkylvärden 1'!$E$186)</f>
        <v>#DIV/0!</v>
      </c>
      <c r="BK35" s="60" t="e">
        <f>-AX35/Projektspecifikt!$B$7*(D35+E35)*'Kalkylvärden 1'!$E$180</f>
        <v>#DIV/0!</v>
      </c>
      <c r="BL35" s="60"/>
    </row>
    <row r="36" spans="1:64" ht="18.75" x14ac:dyDescent="0.3">
      <c r="C36" s="62"/>
      <c r="G36" s="62"/>
      <c r="H36" s="62"/>
      <c r="I36" s="62"/>
      <c r="J36" s="62"/>
      <c r="K36" s="62"/>
      <c r="L36" s="44"/>
      <c r="M36" s="44"/>
      <c r="N36" s="44"/>
      <c r="O36" s="44"/>
      <c r="P36" s="44"/>
      <c r="Q36" s="44"/>
      <c r="R36" s="44"/>
      <c r="S36" s="44"/>
      <c r="T36" s="44"/>
      <c r="U36" s="44"/>
      <c r="V36" s="44"/>
      <c r="W36" s="44"/>
      <c r="AF36" s="34"/>
      <c r="AG36" s="34"/>
      <c r="AH36" s="60"/>
      <c r="AI36" s="60"/>
      <c r="AR36" s="63">
        <f>SUMIF(AR6:AR35,"&lt;&gt;#DIVISION/0!")</f>
        <v>-1024923.9564952292</v>
      </c>
      <c r="AS36" s="64" t="s">
        <v>328</v>
      </c>
      <c r="AX36" s="44">
        <f>SUMIF(AX6:AX35,"&lt;&gt;#DIVISION/0!")</f>
        <v>-3397.4140687094618</v>
      </c>
      <c r="BA36" s="308">
        <f>SUMIF(BA6:BA35,"&lt;&gt;#DIVISION/0!")</f>
        <v>-2734620.7658617226</v>
      </c>
      <c r="BB36" s="51"/>
      <c r="BC36" s="51"/>
      <c r="BD36" s="308">
        <f t="shared" ref="BD36:BK36" si="20">SUMIF(BD6:BD35,"&lt;&gt;#DIVISION/0!")</f>
        <v>-68587.78699245186</v>
      </c>
      <c r="BE36" s="308">
        <f t="shared" si="20"/>
        <v>-14891.313298435516</v>
      </c>
      <c r="BF36" s="308">
        <f t="shared" si="20"/>
        <v>-378.85787349243952</v>
      </c>
      <c r="BG36" s="63">
        <f t="shared" si="20"/>
        <v>-2818478.7240261021</v>
      </c>
      <c r="BH36" s="63">
        <f t="shared" si="20"/>
        <v>10297.576753577938</v>
      </c>
      <c r="BI36" s="63">
        <f t="shared" si="20"/>
        <v>1545.8234012628052</v>
      </c>
      <c r="BJ36" s="63">
        <f t="shared" si="20"/>
        <v>114.43213668367451</v>
      </c>
      <c r="BK36" s="63">
        <f t="shared" si="20"/>
        <v>-12352.799101138471</v>
      </c>
      <c r="BL36" s="63"/>
    </row>
    <row r="37" spans="1:64" x14ac:dyDescent="0.25">
      <c r="B37" s="44"/>
      <c r="C37" s="36"/>
      <c r="I37" s="20"/>
      <c r="J37" s="20"/>
      <c r="K37" s="20"/>
      <c r="L37" s="20"/>
      <c r="M37" s="20"/>
      <c r="N37" s="20"/>
      <c r="O37" s="20"/>
      <c r="P37" s="20"/>
      <c r="Q37" s="20"/>
      <c r="R37" s="20"/>
      <c r="S37" s="20"/>
      <c r="T37" s="20"/>
      <c r="U37" s="20"/>
      <c r="V37" s="20"/>
      <c r="W37" s="20"/>
      <c r="X37" s="20"/>
      <c r="AA37" s="20"/>
      <c r="AB37" s="20"/>
      <c r="AC37" s="20"/>
      <c r="AH37" s="20"/>
      <c r="AI37" s="20"/>
      <c r="AR37" s="20"/>
      <c r="AT37" s="20"/>
      <c r="AU37" s="20"/>
      <c r="AV37" s="20"/>
      <c r="AW37" s="20"/>
      <c r="AX37" s="20"/>
      <c r="AY37" s="20"/>
      <c r="AZ37" s="20"/>
      <c r="BA37" s="51"/>
      <c r="BB37" s="51"/>
      <c r="BC37" s="51"/>
      <c r="BD37" s="51"/>
      <c r="BE37" s="51"/>
      <c r="BF37" s="51"/>
      <c r="BG37" s="51"/>
      <c r="BH37" s="51"/>
      <c r="BI37" s="51"/>
      <c r="BJ37" s="51"/>
    </row>
    <row r="38" spans="1:64" ht="20.25" x14ac:dyDescent="0.3">
      <c r="A38" s="50" t="s">
        <v>332</v>
      </c>
      <c r="I38" s="20"/>
      <c r="J38" s="20"/>
      <c r="K38" s="20"/>
      <c r="L38" s="20"/>
      <c r="M38" s="20"/>
      <c r="N38" s="20"/>
      <c r="O38" s="20"/>
      <c r="P38" s="20"/>
      <c r="Q38" s="20"/>
      <c r="R38" s="20"/>
      <c r="S38" s="20"/>
      <c r="T38" s="20"/>
      <c r="U38" s="20"/>
      <c r="V38" s="20"/>
      <c r="W38" s="20"/>
      <c r="X38" s="20"/>
      <c r="AA38" s="20"/>
      <c r="AB38" s="20"/>
      <c r="AC38" s="20"/>
      <c r="AH38" s="20"/>
      <c r="AI38" s="20"/>
      <c r="AR38" s="20"/>
      <c r="AT38" s="20"/>
      <c r="AU38" s="20"/>
      <c r="AV38" s="20"/>
      <c r="AW38" s="20"/>
      <c r="AX38" s="20"/>
      <c r="AY38" s="20"/>
      <c r="AZ38" s="20"/>
      <c r="BA38" s="51"/>
      <c r="BB38" s="51"/>
      <c r="BC38" s="51"/>
      <c r="BD38" s="51"/>
      <c r="BE38" s="51"/>
      <c r="BF38" s="51"/>
      <c r="BG38" s="51"/>
      <c r="BH38" s="51"/>
      <c r="BI38" s="51"/>
      <c r="BJ38" s="51"/>
    </row>
    <row r="39" spans="1:64" x14ac:dyDescent="0.25">
      <c r="I39" s="20"/>
      <c r="J39" s="20"/>
      <c r="K39" s="20"/>
      <c r="L39" s="20"/>
      <c r="M39" s="20"/>
      <c r="N39" s="20"/>
      <c r="O39" s="20"/>
      <c r="P39" s="20"/>
      <c r="Q39" s="20"/>
      <c r="R39" s="20"/>
      <c r="S39" s="20"/>
      <c r="T39" s="20"/>
      <c r="U39" s="20"/>
      <c r="V39" s="20"/>
      <c r="W39" s="20"/>
      <c r="X39" s="20"/>
      <c r="AA39" s="20"/>
      <c r="AB39" s="20"/>
      <c r="AC39" s="20"/>
      <c r="AH39" s="20"/>
      <c r="AI39" s="20"/>
      <c r="AR39" s="20"/>
      <c r="AT39" s="20"/>
      <c r="AU39" s="20"/>
      <c r="AV39" s="20"/>
      <c r="AW39" s="20"/>
      <c r="AX39" s="20"/>
      <c r="AY39" s="20"/>
      <c r="AZ39" s="20"/>
      <c r="BA39" s="51"/>
      <c r="BB39" s="51"/>
      <c r="BC39" s="51"/>
      <c r="BD39" s="51"/>
      <c r="BE39" s="51"/>
      <c r="BF39" s="51"/>
      <c r="BG39" s="51"/>
      <c r="BH39" s="51"/>
      <c r="BI39" s="51"/>
      <c r="BJ39" s="51"/>
    </row>
    <row r="40" spans="1:64" x14ac:dyDescent="0.25">
      <c r="A40" s="306" t="s">
        <v>609</v>
      </c>
      <c r="B40" s="44">
        <f>BA36+BD36</f>
        <v>-2803208.5528541743</v>
      </c>
      <c r="D40" s="20"/>
      <c r="G40" s="20"/>
      <c r="H40" s="20"/>
      <c r="I40" s="20"/>
      <c r="J40" s="20"/>
      <c r="K40" s="20"/>
      <c r="L40" s="20"/>
      <c r="M40" s="20"/>
      <c r="N40" s="20"/>
      <c r="O40" s="20"/>
      <c r="P40" s="20"/>
      <c r="Q40" s="20"/>
      <c r="R40" s="20"/>
      <c r="S40" s="20"/>
      <c r="T40" s="20"/>
      <c r="U40" s="20"/>
      <c r="V40" s="20"/>
      <c r="W40" s="20"/>
      <c r="X40" s="20"/>
      <c r="AA40" s="20"/>
      <c r="AB40" s="20"/>
      <c r="AC40" s="20"/>
      <c r="AH40" s="20"/>
      <c r="AI40" s="20"/>
      <c r="AR40" s="20"/>
      <c r="AT40" s="20"/>
      <c r="AU40" s="20"/>
      <c r="AV40" s="20"/>
      <c r="AW40" s="20"/>
      <c r="AX40" s="20"/>
      <c r="AY40" s="20"/>
      <c r="AZ40" s="20"/>
      <c r="BA40" s="51"/>
      <c r="BB40" s="51"/>
      <c r="BC40" s="51"/>
      <c r="BD40" s="51"/>
      <c r="BE40" s="51"/>
      <c r="BF40" s="51"/>
      <c r="BG40" s="51"/>
      <c r="BH40" s="51"/>
      <c r="BI40" s="51"/>
      <c r="BJ40" s="51"/>
    </row>
    <row r="41" spans="1:64" x14ac:dyDescent="0.25">
      <c r="A41" s="20" t="s">
        <v>276</v>
      </c>
      <c r="B41" s="44">
        <f>BE36+BF36</f>
        <v>-15270.171171927956</v>
      </c>
      <c r="D41" s="20"/>
      <c r="G41" s="20"/>
      <c r="H41" s="20"/>
      <c r="I41" s="20"/>
      <c r="J41" s="20"/>
      <c r="K41" s="20"/>
      <c r="L41" s="20"/>
      <c r="M41" s="20"/>
      <c r="N41" s="20"/>
      <c r="O41" s="20"/>
      <c r="P41" s="20"/>
      <c r="Q41" s="20"/>
      <c r="R41" s="20"/>
      <c r="S41" s="20"/>
      <c r="T41" s="20"/>
      <c r="U41" s="20"/>
      <c r="V41" s="20"/>
      <c r="W41" s="20"/>
      <c r="X41" s="20"/>
      <c r="AA41" s="20"/>
      <c r="AB41" s="20"/>
      <c r="AC41" s="20"/>
      <c r="AH41" s="20"/>
      <c r="AI41" s="20"/>
      <c r="AR41" s="20"/>
      <c r="AT41" s="20"/>
      <c r="AU41" s="20"/>
      <c r="AV41" s="20"/>
      <c r="AW41" s="20"/>
      <c r="AX41" s="20"/>
      <c r="AY41" s="20"/>
      <c r="AZ41" s="20"/>
      <c r="BA41" s="51"/>
      <c r="BB41" s="51"/>
      <c r="BC41" s="51"/>
      <c r="BD41" s="51"/>
      <c r="BE41" s="51"/>
      <c r="BF41" s="51"/>
      <c r="BG41" s="51"/>
      <c r="BH41" s="51"/>
      <c r="BI41" s="51"/>
      <c r="BJ41" s="51"/>
    </row>
    <row r="42" spans="1:64" ht="26.25" x14ac:dyDescent="0.25">
      <c r="A42" s="53" t="s">
        <v>610</v>
      </c>
      <c r="B42" s="63">
        <f>B40+B41</f>
        <v>-2818478.7240261021</v>
      </c>
      <c r="C42" s="36" t="s">
        <v>328</v>
      </c>
      <c r="D42" s="20"/>
      <c r="G42" s="20"/>
      <c r="H42" s="20"/>
      <c r="I42" s="20"/>
      <c r="J42" s="20"/>
      <c r="K42" s="20"/>
      <c r="L42" s="20"/>
      <c r="M42" s="20"/>
      <c r="N42" s="20"/>
      <c r="O42" s="20"/>
      <c r="P42" s="20"/>
      <c r="Q42" s="20"/>
      <c r="R42" s="20"/>
      <c r="S42" s="20"/>
      <c r="T42" s="20"/>
      <c r="U42" s="20"/>
      <c r="V42" s="20"/>
      <c r="W42" s="20"/>
      <c r="X42" s="20"/>
      <c r="AA42" s="20"/>
      <c r="AB42" s="20"/>
      <c r="AC42" s="20"/>
      <c r="AH42" s="20"/>
      <c r="AI42" s="20"/>
      <c r="AR42" s="20"/>
      <c r="AT42" s="20"/>
      <c r="AU42" s="20"/>
      <c r="AV42" s="20"/>
      <c r="AW42" s="20"/>
      <c r="AX42" s="20"/>
      <c r="AY42" s="20"/>
      <c r="AZ42" s="20"/>
      <c r="BA42" s="51"/>
      <c r="BB42" s="51"/>
      <c r="BC42" s="51"/>
      <c r="BD42" s="51"/>
      <c r="BE42" s="51"/>
      <c r="BF42" s="51"/>
      <c r="BG42" s="51"/>
      <c r="BH42" s="51"/>
      <c r="BI42" s="51"/>
      <c r="BJ42" s="51"/>
    </row>
    <row r="43" spans="1:64" x14ac:dyDescent="0.25">
      <c r="D43" s="20"/>
      <c r="G43" s="20"/>
      <c r="H43" s="20"/>
      <c r="I43" s="20"/>
      <c r="J43" s="20"/>
      <c r="K43" s="20"/>
      <c r="L43" s="20"/>
      <c r="M43" s="20"/>
      <c r="N43" s="20"/>
      <c r="O43" s="20"/>
      <c r="P43" s="20"/>
      <c r="Q43" s="20"/>
      <c r="R43" s="20"/>
      <c r="S43" s="20"/>
      <c r="T43" s="20"/>
      <c r="U43" s="20"/>
      <c r="V43" s="20"/>
      <c r="W43" s="20"/>
      <c r="X43" s="20"/>
      <c r="AA43" s="20"/>
      <c r="AB43" s="20"/>
      <c r="AC43" s="20"/>
      <c r="AH43" s="20"/>
      <c r="AI43" s="20"/>
      <c r="AR43" s="20"/>
      <c r="AT43" s="20"/>
      <c r="AU43" s="20"/>
      <c r="AV43" s="20"/>
      <c r="AW43" s="20"/>
      <c r="AX43" s="20"/>
      <c r="AY43" s="20"/>
      <c r="AZ43" s="20"/>
      <c r="BA43" s="51"/>
      <c r="BB43" s="51"/>
      <c r="BC43" s="51"/>
      <c r="BD43" s="51"/>
      <c r="BE43" s="51"/>
      <c r="BF43" s="51"/>
      <c r="BG43" s="51"/>
      <c r="BH43" s="51"/>
      <c r="BI43" s="51"/>
      <c r="BJ43" s="51"/>
    </row>
    <row r="44" spans="1:64" x14ac:dyDescent="0.25">
      <c r="C44" s="36"/>
      <c r="D44" s="20"/>
      <c r="G44" s="20"/>
      <c r="H44" s="20"/>
      <c r="I44" s="20"/>
      <c r="J44" s="20"/>
      <c r="K44" s="20"/>
      <c r="L44" s="20"/>
      <c r="M44" s="20"/>
      <c r="N44" s="20"/>
      <c r="O44" s="20"/>
      <c r="P44" s="20"/>
      <c r="Q44" s="20"/>
      <c r="R44" s="20"/>
      <c r="S44" s="20"/>
      <c r="T44" s="20"/>
      <c r="U44" s="20"/>
      <c r="V44" s="20"/>
      <c r="W44" s="20"/>
      <c r="X44" s="20"/>
      <c r="AA44" s="20"/>
      <c r="AB44" s="20"/>
      <c r="AC44" s="20"/>
      <c r="AH44" s="20"/>
      <c r="AI44" s="20"/>
      <c r="AR44" s="20"/>
      <c r="AT44" s="20"/>
      <c r="AU44" s="20"/>
      <c r="AV44" s="20"/>
      <c r="AW44" s="20"/>
      <c r="AX44" s="20"/>
      <c r="AY44" s="20"/>
      <c r="AZ44" s="20"/>
      <c r="BA44" s="51"/>
      <c r="BB44" s="51"/>
      <c r="BC44" s="51"/>
      <c r="BD44" s="51"/>
      <c r="BE44" s="51"/>
      <c r="BF44" s="51"/>
      <c r="BG44" s="51"/>
      <c r="BH44" s="51"/>
      <c r="BI44" s="51"/>
      <c r="BJ44" s="51"/>
    </row>
    <row r="45" spans="1:64" ht="20.25" x14ac:dyDescent="0.3">
      <c r="A45" s="50" t="s">
        <v>335</v>
      </c>
      <c r="C45" s="36"/>
      <c r="D45" s="20"/>
      <c r="G45" s="20"/>
      <c r="H45" s="20"/>
      <c r="I45" s="20"/>
      <c r="J45" s="20"/>
      <c r="K45" s="20"/>
      <c r="L45" s="20"/>
      <c r="M45" s="20"/>
      <c r="N45" s="20"/>
      <c r="O45" s="20"/>
      <c r="P45" s="20"/>
      <c r="Q45" s="20"/>
      <c r="R45" s="20"/>
      <c r="S45" s="20"/>
      <c r="T45" s="20"/>
      <c r="U45" s="20"/>
      <c r="V45" s="20"/>
      <c r="W45" s="20"/>
      <c r="X45" s="20"/>
      <c r="AA45" s="20"/>
      <c r="AB45" s="20"/>
      <c r="AC45" s="20"/>
      <c r="AH45" s="20"/>
      <c r="AI45" s="20"/>
      <c r="AR45" s="20"/>
      <c r="AT45" s="20"/>
      <c r="AU45" s="20"/>
      <c r="AV45" s="20"/>
      <c r="AW45" s="20"/>
      <c r="AX45" s="20"/>
      <c r="AY45" s="20"/>
      <c r="AZ45" s="20"/>
      <c r="BA45" s="51"/>
      <c r="BB45" s="51"/>
      <c r="BC45" s="51"/>
      <c r="BD45" s="51"/>
      <c r="BE45" s="51"/>
      <c r="BF45" s="51"/>
      <c r="BG45" s="51"/>
      <c r="BH45" s="51"/>
      <c r="BI45" s="51"/>
      <c r="BJ45" s="51"/>
    </row>
    <row r="46" spans="1:64" x14ac:dyDescent="0.25">
      <c r="A46" s="64" t="s">
        <v>336</v>
      </c>
      <c r="B46" s="63">
        <f>SUMIF((BH36:BJ36),"&lt;&gt;#DIVISION/0!")</f>
        <v>11957.832291524417</v>
      </c>
      <c r="C46" s="69" t="s">
        <v>328</v>
      </c>
      <c r="D46" s="20"/>
      <c r="G46" s="20"/>
      <c r="H46" s="20"/>
      <c r="I46" s="20"/>
      <c r="J46" s="20"/>
      <c r="K46" s="20"/>
      <c r="L46" s="20"/>
      <c r="M46" s="20"/>
      <c r="N46" s="20"/>
      <c r="O46" s="20"/>
      <c r="P46" s="20"/>
      <c r="Q46" s="20"/>
      <c r="R46" s="20"/>
      <c r="S46" s="20"/>
      <c r="T46" s="20"/>
      <c r="U46" s="20"/>
      <c r="V46" s="20"/>
      <c r="W46" s="20"/>
      <c r="X46" s="20"/>
      <c r="AA46" s="20"/>
      <c r="AB46" s="20"/>
      <c r="AC46" s="20"/>
      <c r="AH46" s="20"/>
      <c r="AI46" s="20"/>
      <c r="AR46" s="20"/>
      <c r="AT46" s="20"/>
      <c r="AU46" s="20"/>
      <c r="AV46" s="20"/>
      <c r="AW46" s="20"/>
      <c r="AX46" s="20"/>
      <c r="AY46" s="20"/>
      <c r="AZ46" s="20"/>
      <c r="BA46" s="51"/>
      <c r="BB46" s="51"/>
      <c r="BC46" s="51"/>
      <c r="BD46" s="51"/>
      <c r="BE46" s="51"/>
      <c r="BF46" s="51"/>
      <c r="BG46" s="51"/>
      <c r="BH46" s="51"/>
      <c r="BI46" s="51"/>
      <c r="BJ46" s="51"/>
    </row>
    <row r="47" spans="1:64" x14ac:dyDescent="0.25">
      <c r="A47" s="20" t="s">
        <v>337</v>
      </c>
      <c r="B47" s="44">
        <f>BH36</f>
        <v>10297.576753577938</v>
      </c>
      <c r="C47" s="36"/>
      <c r="D47" s="20"/>
      <c r="G47" s="20"/>
      <c r="H47" s="20"/>
      <c r="I47" s="20"/>
      <c r="J47" s="20"/>
      <c r="K47" s="20"/>
      <c r="L47" s="20"/>
      <c r="M47" s="20"/>
      <c r="N47" s="20"/>
      <c r="O47" s="20"/>
      <c r="P47" s="20"/>
      <c r="Q47" s="20"/>
      <c r="R47" s="20"/>
      <c r="S47" s="20"/>
      <c r="T47" s="20"/>
      <c r="U47" s="20"/>
      <c r="V47" s="20"/>
      <c r="W47" s="20"/>
      <c r="X47" s="20"/>
      <c r="AA47" s="20"/>
      <c r="AB47" s="20"/>
      <c r="AC47" s="20"/>
      <c r="AH47" s="20"/>
      <c r="AI47" s="20"/>
      <c r="AR47" s="20"/>
      <c r="AT47" s="20"/>
      <c r="AU47" s="20"/>
      <c r="AV47" s="20"/>
      <c r="AW47" s="20"/>
      <c r="AX47" s="20"/>
      <c r="AY47" s="20"/>
      <c r="AZ47" s="20"/>
      <c r="BA47" s="51"/>
      <c r="BB47" s="51"/>
      <c r="BC47" s="51"/>
      <c r="BD47" s="51"/>
      <c r="BE47" s="51"/>
      <c r="BF47" s="51"/>
      <c r="BG47" s="51"/>
      <c r="BH47" s="51"/>
      <c r="BI47" s="51"/>
      <c r="BJ47" s="51"/>
    </row>
    <row r="48" spans="1:64" x14ac:dyDescent="0.25">
      <c r="A48" s="20" t="s">
        <v>338</v>
      </c>
      <c r="B48" s="44">
        <f>BI36</f>
        <v>1545.8234012628052</v>
      </c>
      <c r="C48" s="36"/>
      <c r="D48" s="20"/>
      <c r="G48" s="20"/>
      <c r="H48" s="20"/>
      <c r="I48" s="20"/>
      <c r="J48" s="20"/>
      <c r="K48" s="20"/>
      <c r="L48" s="20"/>
      <c r="M48" s="20"/>
      <c r="N48" s="20"/>
      <c r="O48" s="20"/>
      <c r="P48" s="20"/>
      <c r="Q48" s="20"/>
      <c r="R48" s="20"/>
      <c r="S48" s="20"/>
      <c r="T48" s="20"/>
      <c r="U48" s="20"/>
      <c r="V48" s="20"/>
      <c r="W48" s="20"/>
      <c r="X48" s="20"/>
      <c r="AA48" s="20"/>
      <c r="AB48" s="20"/>
      <c r="AC48" s="20"/>
      <c r="AH48" s="20"/>
      <c r="AI48" s="20"/>
      <c r="AR48" s="20"/>
      <c r="AT48" s="20"/>
      <c r="AU48" s="20"/>
      <c r="AV48" s="20"/>
      <c r="AW48" s="20"/>
      <c r="AX48" s="20"/>
      <c r="AY48" s="20"/>
      <c r="AZ48" s="20"/>
      <c r="BA48" s="51"/>
      <c r="BB48" s="51"/>
      <c r="BC48" s="51"/>
      <c r="BD48" s="51"/>
      <c r="BE48" s="51"/>
      <c r="BF48" s="51"/>
      <c r="BG48" s="51"/>
      <c r="BH48" s="51"/>
      <c r="BI48" s="51"/>
      <c r="BJ48" s="51"/>
    </row>
    <row r="49" spans="1:62" x14ac:dyDescent="0.25">
      <c r="A49" s="20" t="s">
        <v>339</v>
      </c>
      <c r="B49" s="44">
        <f>BJ36</f>
        <v>114.43213668367451</v>
      </c>
      <c r="C49" s="36"/>
      <c r="D49" s="20"/>
      <c r="G49" s="20"/>
      <c r="H49" s="20"/>
      <c r="I49" s="20"/>
      <c r="J49" s="20"/>
      <c r="K49" s="20"/>
      <c r="L49" s="20"/>
      <c r="M49" s="20"/>
      <c r="N49" s="20"/>
      <c r="O49" s="20"/>
      <c r="P49" s="20"/>
      <c r="Q49" s="20"/>
      <c r="R49" s="20"/>
      <c r="S49" s="20"/>
      <c r="T49" s="20"/>
      <c r="U49" s="20"/>
      <c r="V49" s="20"/>
      <c r="W49" s="20"/>
      <c r="X49" s="20"/>
      <c r="AA49" s="20"/>
      <c r="AB49" s="20"/>
      <c r="AC49" s="20"/>
      <c r="AH49" s="20"/>
      <c r="AI49" s="20"/>
      <c r="AR49" s="20"/>
      <c r="AT49" s="20"/>
      <c r="AU49" s="20"/>
      <c r="AV49" s="20"/>
      <c r="AW49" s="20"/>
      <c r="AX49" s="20"/>
      <c r="AY49" s="20"/>
      <c r="AZ49" s="20"/>
      <c r="BA49" s="51"/>
      <c r="BB49" s="51"/>
      <c r="BC49" s="51"/>
      <c r="BD49" s="51"/>
      <c r="BE49" s="51"/>
      <c r="BF49" s="51"/>
      <c r="BG49" s="51"/>
      <c r="BH49" s="51"/>
      <c r="BI49" s="51"/>
      <c r="BJ49" s="51"/>
    </row>
    <row r="50" spans="1:62" x14ac:dyDescent="0.25">
      <c r="A50" s="64" t="s">
        <v>340</v>
      </c>
      <c r="B50" s="63">
        <f>SUMIF((BK36),"&lt;&gt;#DIVISION/0!")</f>
        <v>-12352.799101138471</v>
      </c>
      <c r="C50" s="69" t="s">
        <v>328</v>
      </c>
      <c r="D50" s="20"/>
      <c r="G50" s="20"/>
      <c r="H50" s="20"/>
      <c r="I50" s="20"/>
      <c r="J50" s="20"/>
      <c r="K50" s="20"/>
      <c r="L50" s="20"/>
      <c r="M50" s="20"/>
      <c r="N50" s="20"/>
      <c r="O50" s="20"/>
      <c r="P50" s="20"/>
      <c r="Q50" s="20"/>
      <c r="R50" s="20"/>
      <c r="S50" s="20"/>
      <c r="T50" s="20"/>
      <c r="U50" s="20"/>
      <c r="V50" s="20"/>
      <c r="W50" s="20"/>
      <c r="X50" s="20"/>
      <c r="AA50" s="20"/>
      <c r="AB50" s="20"/>
      <c r="AC50" s="20"/>
      <c r="AH50" s="20"/>
      <c r="AI50" s="20"/>
      <c r="AR50" s="20"/>
      <c r="AT50" s="20"/>
      <c r="AU50" s="20"/>
      <c r="AV50" s="20"/>
      <c r="AW50" s="20"/>
      <c r="AX50" s="20"/>
      <c r="AY50" s="20"/>
      <c r="AZ50" s="20"/>
      <c r="BA50" s="51"/>
      <c r="BB50" s="51"/>
      <c r="BC50" s="51"/>
      <c r="BD50" s="51"/>
      <c r="BE50" s="51"/>
      <c r="BF50" s="51"/>
      <c r="BG50" s="51"/>
      <c r="BH50" s="51"/>
      <c r="BI50" s="51"/>
      <c r="BJ50" s="51"/>
    </row>
    <row r="51" spans="1:62" x14ac:dyDescent="0.25">
      <c r="A51" s="20" t="s">
        <v>341</v>
      </c>
      <c r="B51" s="44">
        <f>BK36</f>
        <v>-12352.799101138471</v>
      </c>
      <c r="C51" s="36"/>
      <c r="D51" s="502"/>
      <c r="G51" s="20"/>
      <c r="H51" s="20"/>
      <c r="I51" s="20"/>
      <c r="J51" s="20"/>
      <c r="K51" s="20"/>
      <c r="L51" s="20"/>
      <c r="M51" s="20"/>
      <c r="N51" s="20"/>
      <c r="O51" s="20"/>
      <c r="P51" s="20"/>
      <c r="Q51" s="20"/>
      <c r="R51" s="20"/>
      <c r="S51" s="20"/>
      <c r="T51" s="20"/>
      <c r="U51" s="20"/>
      <c r="V51" s="20"/>
      <c r="W51" s="20"/>
      <c r="X51" s="20"/>
      <c r="AA51" s="20"/>
      <c r="AB51" s="20"/>
      <c r="AC51" s="20"/>
      <c r="AH51" s="20"/>
      <c r="AI51" s="20"/>
      <c r="AR51" s="20"/>
      <c r="AT51" s="20"/>
      <c r="AU51" s="20"/>
      <c r="AV51" s="20"/>
      <c r="AW51" s="20"/>
      <c r="AX51" s="20"/>
      <c r="AY51" s="20"/>
      <c r="AZ51" s="20"/>
      <c r="BA51" s="51"/>
      <c r="BB51" s="51"/>
      <c r="BC51" s="51"/>
      <c r="BD51" s="51"/>
      <c r="BE51" s="51"/>
      <c r="BF51" s="51"/>
      <c r="BG51" s="51"/>
      <c r="BH51" s="51"/>
      <c r="BI51" s="51"/>
      <c r="BJ51" s="51"/>
    </row>
    <row r="52" spans="1:62" x14ac:dyDescent="0.25">
      <c r="B52" s="44"/>
      <c r="C52" s="36"/>
      <c r="D52" s="20"/>
      <c r="G52" s="20"/>
      <c r="H52" s="20"/>
      <c r="I52" s="20"/>
      <c r="J52" s="20"/>
      <c r="K52" s="20"/>
      <c r="L52" s="20"/>
      <c r="M52" s="20"/>
      <c r="N52" s="20"/>
      <c r="O52" s="20"/>
      <c r="P52" s="20"/>
      <c r="Q52" s="20"/>
      <c r="R52" s="20"/>
      <c r="S52" s="20"/>
      <c r="T52" s="20"/>
      <c r="U52" s="20"/>
      <c r="V52" s="20"/>
      <c r="W52" s="20"/>
      <c r="X52" s="20"/>
      <c r="AA52" s="20"/>
      <c r="AB52" s="20"/>
      <c r="AC52" s="20"/>
      <c r="AH52" s="20"/>
      <c r="AI52" s="20"/>
      <c r="AR52" s="20"/>
      <c r="AT52" s="20"/>
      <c r="AU52" s="20"/>
      <c r="AV52" s="20"/>
      <c r="AW52" s="20"/>
      <c r="AX52" s="20"/>
      <c r="AY52" s="20"/>
      <c r="AZ52" s="20"/>
      <c r="BA52" s="51"/>
      <c r="BB52" s="51"/>
      <c r="BC52" s="51"/>
      <c r="BD52" s="51"/>
      <c r="BE52" s="51"/>
      <c r="BF52" s="51"/>
      <c r="BG52" s="51"/>
      <c r="BH52" s="51"/>
      <c r="BI52" s="51"/>
      <c r="BJ52" s="51"/>
    </row>
    <row r="53" spans="1:62" x14ac:dyDescent="0.25">
      <c r="A53" s="64" t="s">
        <v>342</v>
      </c>
      <c r="B53" s="63">
        <f>B46+B50</f>
        <v>-394.966809614054</v>
      </c>
      <c r="C53" s="69" t="s">
        <v>328</v>
      </c>
      <c r="D53" s="20"/>
      <c r="E53" s="20"/>
      <c r="F53" s="20"/>
      <c r="G53" s="20"/>
      <c r="H53" s="20"/>
      <c r="I53" s="20"/>
      <c r="J53" s="20"/>
      <c r="K53" s="20"/>
      <c r="L53" s="20"/>
      <c r="M53" s="20"/>
      <c r="N53" s="20"/>
      <c r="O53" s="20"/>
      <c r="P53" s="20"/>
      <c r="Q53" s="20"/>
      <c r="R53" s="20"/>
      <c r="S53" s="20"/>
      <c r="T53" s="20"/>
      <c r="U53" s="20"/>
      <c r="V53" s="20"/>
      <c r="W53" s="20"/>
      <c r="X53" s="20"/>
      <c r="AA53" s="20"/>
      <c r="AB53" s="20"/>
      <c r="AC53" s="20"/>
      <c r="AH53" s="20"/>
      <c r="AI53" s="20"/>
      <c r="AR53" s="20"/>
      <c r="AT53" s="20"/>
      <c r="AU53" s="20"/>
      <c r="AV53" s="20"/>
      <c r="AW53" s="20"/>
      <c r="AX53" s="20"/>
      <c r="AY53" s="20"/>
      <c r="AZ53" s="20"/>
      <c r="BA53" s="51"/>
      <c r="BB53" s="51"/>
      <c r="BC53" s="51"/>
      <c r="BD53" s="51"/>
      <c r="BE53" s="51"/>
      <c r="BF53" s="51"/>
      <c r="BG53" s="51"/>
      <c r="BH53" s="51"/>
      <c r="BI53" s="51"/>
      <c r="BJ53" s="51"/>
    </row>
    <row r="55" spans="1:62" ht="20.25" x14ac:dyDescent="0.3">
      <c r="A55" s="50" t="s">
        <v>343</v>
      </c>
    </row>
    <row r="56" spans="1:62" x14ac:dyDescent="0.25">
      <c r="A56" s="36" t="s">
        <v>344</v>
      </c>
    </row>
    <row r="57" spans="1:62" x14ac:dyDescent="0.25">
      <c r="A57" s="36" t="s">
        <v>345</v>
      </c>
    </row>
    <row r="58" spans="1:62" x14ac:dyDescent="0.25">
      <c r="A58" s="83"/>
      <c r="B58" s="36" t="s">
        <v>222</v>
      </c>
    </row>
    <row r="59" spans="1:62" x14ac:dyDescent="0.25">
      <c r="A59" s="65" t="s">
        <v>346</v>
      </c>
    </row>
    <row r="64" spans="1:62" ht="20.25" x14ac:dyDescent="0.3">
      <c r="A64" s="47" t="s">
        <v>347</v>
      </c>
    </row>
    <row r="66" spans="1:105" x14ac:dyDescent="0.25">
      <c r="A66" s="66" t="s">
        <v>263</v>
      </c>
      <c r="Y66" s="19"/>
      <c r="Z66" s="19"/>
      <c r="AD66" s="19"/>
      <c r="AE66" s="19"/>
      <c r="AF66" s="19"/>
      <c r="AG66" s="19"/>
      <c r="AI66" s="20"/>
      <c r="AR66" s="20"/>
      <c r="AT66" s="20"/>
      <c r="AU66" s="20"/>
      <c r="AV66" s="20"/>
      <c r="AW66" s="20"/>
      <c r="AX66" s="20"/>
      <c r="AY66" s="20"/>
      <c r="AZ66" s="20"/>
      <c r="BA66" s="51"/>
      <c r="BB66" s="51"/>
      <c r="BC66" s="51"/>
      <c r="BD66" s="51"/>
      <c r="BE66" s="51"/>
      <c r="BF66" s="51"/>
      <c r="BG66" s="51"/>
      <c r="BH66" s="51"/>
      <c r="BI66" s="51"/>
      <c r="BJ66" s="51"/>
    </row>
    <row r="67" spans="1:105" s="22" customFormat="1" x14ac:dyDescent="0.25">
      <c r="A67" s="70" t="s">
        <v>207</v>
      </c>
      <c r="B67" s="22">
        <v>2025</v>
      </c>
      <c r="C67" s="22">
        <f>B67+1</f>
        <v>2026</v>
      </c>
      <c r="D67" s="22">
        <f>C67+1</f>
        <v>2027</v>
      </c>
      <c r="E67" s="22">
        <f t="shared" ref="E67:AP67" si="21">D67+1</f>
        <v>2028</v>
      </c>
      <c r="F67" s="22">
        <f t="shared" si="21"/>
        <v>2029</v>
      </c>
      <c r="G67" s="22">
        <f t="shared" si="21"/>
        <v>2030</v>
      </c>
      <c r="H67" s="22">
        <f t="shared" si="21"/>
        <v>2031</v>
      </c>
      <c r="I67" s="22">
        <f t="shared" si="21"/>
        <v>2032</v>
      </c>
      <c r="J67" s="22">
        <f t="shared" si="21"/>
        <v>2033</v>
      </c>
      <c r="K67" s="22">
        <f t="shared" si="21"/>
        <v>2034</v>
      </c>
      <c r="L67" s="22">
        <f t="shared" si="21"/>
        <v>2035</v>
      </c>
      <c r="M67" s="22">
        <f t="shared" si="21"/>
        <v>2036</v>
      </c>
      <c r="N67" s="22">
        <f t="shared" si="21"/>
        <v>2037</v>
      </c>
      <c r="O67" s="22">
        <f t="shared" si="21"/>
        <v>2038</v>
      </c>
      <c r="P67" s="22">
        <f t="shared" si="21"/>
        <v>2039</v>
      </c>
      <c r="Q67" s="22">
        <f t="shared" si="21"/>
        <v>2040</v>
      </c>
      <c r="R67" s="22">
        <f t="shared" si="21"/>
        <v>2041</v>
      </c>
      <c r="S67" s="22">
        <f t="shared" si="21"/>
        <v>2042</v>
      </c>
      <c r="T67" s="22">
        <f t="shared" si="21"/>
        <v>2043</v>
      </c>
      <c r="U67" s="22">
        <f t="shared" si="21"/>
        <v>2044</v>
      </c>
      <c r="V67" s="22">
        <f t="shared" si="21"/>
        <v>2045</v>
      </c>
      <c r="W67" s="22">
        <f t="shared" si="21"/>
        <v>2046</v>
      </c>
      <c r="X67" s="22">
        <f t="shared" si="21"/>
        <v>2047</v>
      </c>
      <c r="Y67" s="22">
        <f t="shared" si="21"/>
        <v>2048</v>
      </c>
      <c r="Z67" s="22">
        <f t="shared" si="21"/>
        <v>2049</v>
      </c>
      <c r="AA67" s="22">
        <f t="shared" si="21"/>
        <v>2050</v>
      </c>
      <c r="AB67" s="22">
        <f t="shared" si="21"/>
        <v>2051</v>
      </c>
      <c r="AC67" s="22">
        <f t="shared" si="21"/>
        <v>2052</v>
      </c>
      <c r="AD67" s="22">
        <f t="shared" si="21"/>
        <v>2053</v>
      </c>
      <c r="AE67" s="22">
        <f t="shared" si="21"/>
        <v>2054</v>
      </c>
      <c r="AF67" s="22">
        <f t="shared" si="21"/>
        <v>2055</v>
      </c>
      <c r="AG67" s="22">
        <f t="shared" si="21"/>
        <v>2056</v>
      </c>
      <c r="AH67" s="22">
        <f t="shared" si="21"/>
        <v>2057</v>
      </c>
      <c r="AI67" s="22">
        <f t="shared" si="21"/>
        <v>2058</v>
      </c>
      <c r="AJ67" s="22">
        <f t="shared" si="21"/>
        <v>2059</v>
      </c>
      <c r="AK67" s="22">
        <f t="shared" si="21"/>
        <v>2060</v>
      </c>
      <c r="AL67" s="22">
        <f t="shared" si="21"/>
        <v>2061</v>
      </c>
      <c r="AM67" s="22">
        <f t="shared" si="21"/>
        <v>2062</v>
      </c>
      <c r="AN67" s="22">
        <f t="shared" si="21"/>
        <v>2063</v>
      </c>
      <c r="AO67" s="22">
        <f t="shared" si="21"/>
        <v>2064</v>
      </c>
      <c r="AP67" s="22">
        <f t="shared" si="21"/>
        <v>2065</v>
      </c>
      <c r="AQ67" s="22">
        <f>AP67+1</f>
        <v>2066</v>
      </c>
      <c r="AR67" s="22">
        <f>AQ67+1</f>
        <v>2067</v>
      </c>
      <c r="AS67" s="22">
        <f>AR67+1</f>
        <v>2068</v>
      </c>
      <c r="AT67" s="22">
        <f>AS67+1</f>
        <v>2069</v>
      </c>
      <c r="BA67" s="71"/>
      <c r="BB67" s="71"/>
      <c r="BC67" s="71"/>
      <c r="BD67" s="71"/>
      <c r="BE67" s="71"/>
      <c r="BF67" s="71"/>
      <c r="BG67" s="71"/>
      <c r="BH67" s="71"/>
      <c r="BI67" s="71"/>
      <c r="BJ67" s="71"/>
      <c r="BK67" s="71"/>
      <c r="BL67" s="71"/>
    </row>
    <row r="68" spans="1:105" x14ac:dyDescent="0.25">
      <c r="A68" s="20" t="s">
        <v>235</v>
      </c>
      <c r="B68" s="19">
        <v>1</v>
      </c>
      <c r="C68" s="60">
        <f>B68*(1+'Kalkylvärden 1'!$D$9/100)</f>
        <v>1.0349999999999999</v>
      </c>
      <c r="D68" s="60">
        <f>C68*(1+'Kalkylvärden 1'!$D$9/100)</f>
        <v>1.0712249999999999</v>
      </c>
      <c r="E68" s="60">
        <f>D68*(1+'Kalkylvärden 1'!$D$9/100)</f>
        <v>1.1087178749999997</v>
      </c>
      <c r="F68" s="60">
        <f>E68*(1+'Kalkylvärden 1'!$D$9/100)</f>
        <v>1.1475230006249997</v>
      </c>
      <c r="G68" s="60">
        <f>F68*(1+'Kalkylvärden 1'!$D$9/100)</f>
        <v>1.1876863056468745</v>
      </c>
      <c r="H68" s="60">
        <f>G68*(1+'Kalkylvärden 1'!$D$9/100)</f>
        <v>1.229255326344515</v>
      </c>
      <c r="I68" s="60">
        <f>H68*(1+'Kalkylvärden 1'!$D$9/100)</f>
        <v>1.2722792627665729</v>
      </c>
      <c r="J68" s="60">
        <f>I68*(1+'Kalkylvärden 1'!$D$9/100)</f>
        <v>1.3168090369634029</v>
      </c>
      <c r="K68" s="60">
        <f>J68*(1+'Kalkylvärden 1'!$D$9/100)</f>
        <v>1.3628973532571218</v>
      </c>
      <c r="L68" s="60">
        <f>K68*(1+'Kalkylvärden 1'!$D$9/100)</f>
        <v>1.410598760621121</v>
      </c>
      <c r="M68" s="60">
        <f>L68*(1+'Kalkylvärden 1'!$D$9/100)</f>
        <v>1.4599697172428601</v>
      </c>
      <c r="N68" s="60">
        <f>M68*(1+'Kalkylvärden 1'!$D$9/100)</f>
        <v>1.5110686573463601</v>
      </c>
      <c r="O68" s="60">
        <f>N68*(1+'Kalkylvärden 1'!$D$9/100)</f>
        <v>1.5639560603534826</v>
      </c>
      <c r="P68" s="60">
        <f>O68*(1+'Kalkylvärden 1'!$D$9/100)</f>
        <v>1.6186945224658542</v>
      </c>
      <c r="Q68" s="60">
        <f>P68*(1+'Kalkylvärden 1'!$D$9/100)</f>
        <v>1.6753488307521589</v>
      </c>
      <c r="R68" s="60">
        <f>Q68*(1+'Kalkylvärden 1'!$D$9/100)</f>
        <v>1.7339860398284843</v>
      </c>
      <c r="S68" s="60">
        <f>R68*(1+'Kalkylvärden 1'!$D$9/100)</f>
        <v>1.7946755512224812</v>
      </c>
      <c r="T68" s="60">
        <f>S68*(1+'Kalkylvärden 1'!$D$9/100)</f>
        <v>1.8574891955152679</v>
      </c>
      <c r="U68" s="60">
        <f>T68*(1+'Kalkylvärden 1'!$D$9/100)</f>
        <v>1.9225013173583021</v>
      </c>
      <c r="V68" s="60">
        <f>U68*(1+'Kalkylvärden 1'!$D$9/100)</f>
        <v>1.9897888634658425</v>
      </c>
      <c r="W68" s="60">
        <f>V68*(1+'Kalkylvärden 1'!$D$9/100)</f>
        <v>2.0594314736871469</v>
      </c>
      <c r="X68" s="60">
        <f>W68*(1+'Kalkylvärden 1'!$D$9/100)</f>
        <v>2.1315115752661966</v>
      </c>
      <c r="Y68" s="60">
        <f>X68*(1+'Kalkylvärden 1'!$D$9/100)</f>
        <v>2.2061144804005135</v>
      </c>
      <c r="Z68" s="60">
        <f>Y68*(1+'Kalkylvärden 1'!$D$9/100)</f>
        <v>2.2833284872145314</v>
      </c>
      <c r="AA68" s="60">
        <f>Z68*(1+'Kalkylvärden 1'!$D$9/100)</f>
        <v>2.3632449842670398</v>
      </c>
      <c r="AB68" s="60">
        <f>AA68*(1+'Kalkylvärden 1'!$D$9/100)</f>
        <v>2.4459585587163861</v>
      </c>
      <c r="AC68" s="60">
        <f>AB68*(1+'Kalkylvärden 1'!$D$9/100)</f>
        <v>2.5315671082714593</v>
      </c>
      <c r="AD68" s="60">
        <f>AC68*(1+'Kalkylvärden 1'!$D$9/100)</f>
        <v>2.6201719570609603</v>
      </c>
      <c r="AE68" s="60">
        <f>AD68*(1+'Kalkylvärden 1'!$D$9/100)</f>
        <v>2.7118779755580937</v>
      </c>
      <c r="AF68" s="60">
        <f>AE68*(1+'Kalkylvärden 1'!$D$9/100)</f>
        <v>2.8067937047026268</v>
      </c>
      <c r="AG68" s="60">
        <f>AF68*(1+'Kalkylvärden 1'!$D$9/100)</f>
        <v>2.9050314843672185</v>
      </c>
      <c r="AH68" s="60">
        <f>AG68*(1+'Kalkylvärden 1'!$D$9/100)</f>
        <v>3.0067075863200707</v>
      </c>
      <c r="AI68" s="60">
        <f>AH68*(1+'Kalkylvärden 1'!$D$9/100)</f>
        <v>3.111942351841273</v>
      </c>
      <c r="AJ68" s="60">
        <f>AI68*(1+'Kalkylvärden 1'!$D$9/100)</f>
        <v>3.2208603341557174</v>
      </c>
      <c r="AK68" s="60">
        <f>AJ68*(1+'Kalkylvärden 1'!$D$9/100)</f>
        <v>3.3335904458511671</v>
      </c>
      <c r="AL68" s="60">
        <f>AK68*(1+'Kalkylvärden 1'!$D$9/100)</f>
        <v>3.4502661114559579</v>
      </c>
      <c r="AM68" s="60">
        <f>AL68*(1+'Kalkylvärden 1'!$D$9/100)</f>
        <v>3.571025425356916</v>
      </c>
      <c r="AN68" s="60">
        <f>AM68*(1+'Kalkylvärden 1'!$D$9/100)</f>
        <v>3.6960113152444078</v>
      </c>
      <c r="AO68" s="60">
        <f>AN68*(1+'Kalkylvärden 1'!$D$9/100)</f>
        <v>3.8253717112779619</v>
      </c>
      <c r="AP68" s="60">
        <f>AO68*(1+'Kalkylvärden 1'!$D$9/100)</f>
        <v>3.9592597211726903</v>
      </c>
      <c r="AQ68" s="60">
        <f>AP68*(1+'Kalkylvärden 1'!$D$9/100)</f>
        <v>4.097833811413734</v>
      </c>
      <c r="AR68" s="60">
        <f>AQ68*(1+'Kalkylvärden 1'!$D$9/100)</f>
        <v>4.2412579948132141</v>
      </c>
      <c r="AS68" s="60">
        <f>AR68*(1+'Kalkylvärden 1'!$D$9/100)</f>
        <v>4.389702024631676</v>
      </c>
      <c r="AT68" s="60">
        <f>AS68*(1+'Kalkylvärden 1'!$D$9/100)</f>
        <v>4.5433415954937839</v>
      </c>
      <c r="AU68" s="34"/>
      <c r="AV68" s="34"/>
      <c r="AW68" s="34"/>
      <c r="AX68" s="34"/>
      <c r="AY68" s="34"/>
      <c r="AZ68" s="34"/>
      <c r="BA68" s="51"/>
      <c r="BB68" s="51"/>
      <c r="BC68" s="51"/>
      <c r="BD68" s="51"/>
      <c r="BE68" s="51"/>
      <c r="BF68" s="51"/>
      <c r="BG68" s="51"/>
      <c r="BH68" s="51"/>
      <c r="BI68" s="51"/>
      <c r="BJ68" s="51"/>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row>
    <row r="69" spans="1:105" x14ac:dyDescent="0.25">
      <c r="A69" s="20" t="s">
        <v>236</v>
      </c>
      <c r="B69" s="19">
        <v>1</v>
      </c>
      <c r="C69" s="60">
        <f>1/C68</f>
        <v>0.96618357487922713</v>
      </c>
      <c r="D69" s="60">
        <f t="shared" ref="D69:AP69" si="22">1/D68</f>
        <v>0.93351070036640305</v>
      </c>
      <c r="E69" s="60">
        <f t="shared" si="22"/>
        <v>0.90194270566802237</v>
      </c>
      <c r="F69" s="60">
        <f t="shared" si="22"/>
        <v>0.87144222769857238</v>
      </c>
      <c r="G69" s="60">
        <f t="shared" si="22"/>
        <v>0.84197316685852419</v>
      </c>
      <c r="H69" s="60">
        <f t="shared" si="22"/>
        <v>0.81350064430775293</v>
      </c>
      <c r="I69" s="60">
        <f t="shared" si="22"/>
        <v>0.78599096068381935</v>
      </c>
      <c r="J69" s="60">
        <f t="shared" si="22"/>
        <v>0.75941155621625056</v>
      </c>
      <c r="K69" s="60">
        <f t="shared" si="22"/>
        <v>0.73373097218961414</v>
      </c>
      <c r="L69" s="60">
        <f t="shared" si="22"/>
        <v>0.70891881370977217</v>
      </c>
      <c r="M69" s="60">
        <f t="shared" si="22"/>
        <v>0.68494571372924862</v>
      </c>
      <c r="N69" s="60">
        <f t="shared" si="22"/>
        <v>0.66178329828912907</v>
      </c>
      <c r="O69" s="60">
        <f t="shared" si="22"/>
        <v>0.63940415293635666</v>
      </c>
      <c r="P69" s="60">
        <f t="shared" si="22"/>
        <v>0.61778179027667324</v>
      </c>
      <c r="Q69" s="60">
        <f t="shared" si="22"/>
        <v>0.59689061862480508</v>
      </c>
      <c r="R69" s="60">
        <f t="shared" si="22"/>
        <v>0.57670591171478758</v>
      </c>
      <c r="S69" s="60">
        <f t="shared" si="22"/>
        <v>0.55720377943457733</v>
      </c>
      <c r="T69" s="60">
        <f t="shared" si="22"/>
        <v>0.53836113955031639</v>
      </c>
      <c r="U69" s="60">
        <f t="shared" si="22"/>
        <v>0.52015569038677911</v>
      </c>
      <c r="V69" s="60">
        <f t="shared" si="22"/>
        <v>0.50256588443167072</v>
      </c>
      <c r="W69" s="60">
        <f t="shared" si="22"/>
        <v>0.48557090283253213</v>
      </c>
      <c r="X69" s="60">
        <f t="shared" si="22"/>
        <v>0.46915063075606978</v>
      </c>
      <c r="Y69" s="60">
        <f t="shared" si="22"/>
        <v>0.45328563358074375</v>
      </c>
      <c r="Z69" s="60">
        <f t="shared" si="22"/>
        <v>0.43795713389443841</v>
      </c>
      <c r="AA69" s="60">
        <f t="shared" si="22"/>
        <v>0.42314698926998884</v>
      </c>
      <c r="AB69" s="60">
        <f t="shared" si="22"/>
        <v>0.40883767079225974</v>
      </c>
      <c r="AC69" s="60">
        <f t="shared" si="22"/>
        <v>0.39501224231136212</v>
      </c>
      <c r="AD69" s="60">
        <f t="shared" si="22"/>
        <v>0.38165434039745133</v>
      </c>
      <c r="AE69" s="60">
        <f t="shared" si="22"/>
        <v>0.36874815497338298</v>
      </c>
      <c r="AF69" s="60">
        <f t="shared" si="22"/>
        <v>0.35627841060230242</v>
      </c>
      <c r="AG69" s="60">
        <f t="shared" si="22"/>
        <v>0.34423034840802169</v>
      </c>
      <c r="AH69" s="60">
        <f t="shared" si="22"/>
        <v>0.33258970860678427</v>
      </c>
      <c r="AI69" s="60">
        <f t="shared" si="22"/>
        <v>0.32134271362974326</v>
      </c>
      <c r="AJ69" s="60">
        <f t="shared" si="22"/>
        <v>0.3104760518161771</v>
      </c>
      <c r="AK69" s="60">
        <f t="shared" si="22"/>
        <v>0.29997686165814214</v>
      </c>
      <c r="AL69" s="60">
        <f t="shared" si="22"/>
        <v>0.28983271657791515</v>
      </c>
      <c r="AM69" s="60">
        <f t="shared" si="22"/>
        <v>0.28003161022020789</v>
      </c>
      <c r="AN69" s="60">
        <f t="shared" si="22"/>
        <v>0.27056194224174679</v>
      </c>
      <c r="AO69" s="60">
        <f t="shared" si="22"/>
        <v>0.26141250458139786</v>
      </c>
      <c r="AP69" s="60">
        <f t="shared" si="22"/>
        <v>0.25257246819458734</v>
      </c>
      <c r="AQ69" s="60">
        <f>1/AQ68</f>
        <v>0.24403137023631627</v>
      </c>
      <c r="AR69" s="60">
        <f>1/AR68</f>
        <v>0.2357791016776003</v>
      </c>
      <c r="AS69" s="60">
        <f>1/AS68</f>
        <v>0.22780589534067666</v>
      </c>
      <c r="AT69" s="60">
        <f>1/AT68</f>
        <v>0.22010231433881805</v>
      </c>
      <c r="AU69" s="34"/>
      <c r="AV69" s="34"/>
      <c r="AW69" s="34"/>
      <c r="AX69" s="34"/>
      <c r="AY69" s="34"/>
      <c r="AZ69" s="34"/>
      <c r="BA69" s="51"/>
      <c r="BB69" s="51"/>
      <c r="BC69" s="51"/>
      <c r="BD69" s="51"/>
      <c r="BE69" s="51"/>
      <c r="BF69" s="51"/>
      <c r="BG69" s="51"/>
      <c r="BH69" s="51"/>
      <c r="BI69" s="51"/>
      <c r="BJ69" s="51"/>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row>
    <row r="70" spans="1:105" x14ac:dyDescent="0.25">
      <c r="B70" s="20"/>
      <c r="C70" s="20"/>
      <c r="D70" s="20"/>
      <c r="E70" s="20"/>
      <c r="F70" s="20"/>
      <c r="G70" s="20"/>
      <c r="H70" s="20"/>
      <c r="I70" s="20"/>
      <c r="J70" s="20"/>
      <c r="K70" s="20"/>
      <c r="L70" s="20"/>
      <c r="M70" s="20"/>
      <c r="N70" s="20"/>
      <c r="O70" s="20"/>
      <c r="P70" s="20"/>
      <c r="Q70" s="20"/>
      <c r="R70" s="20"/>
      <c r="S70" s="20"/>
      <c r="T70" s="20"/>
      <c r="U70" s="20"/>
      <c r="V70" s="20"/>
      <c r="W70" s="20"/>
      <c r="X70" s="20"/>
      <c r="AA70" s="20"/>
      <c r="AB70" s="20"/>
      <c r="AC70" s="20"/>
      <c r="AE70" s="19"/>
      <c r="AF70" s="19"/>
      <c r="AG70" s="19"/>
      <c r="AR70" s="20"/>
      <c r="AT70" s="20"/>
      <c r="AU70" s="20"/>
      <c r="AV70" s="20"/>
      <c r="AW70" s="20"/>
      <c r="AX70" s="20"/>
      <c r="AY70" s="20"/>
      <c r="AZ70" s="20"/>
      <c r="BA70" s="51"/>
      <c r="BB70" s="51"/>
      <c r="BC70" s="51"/>
      <c r="BD70" s="51"/>
      <c r="BE70" s="51"/>
      <c r="BF70" s="51"/>
      <c r="BG70" s="51"/>
      <c r="BH70" s="51"/>
      <c r="BI70" s="51"/>
      <c r="BJ70" s="51"/>
    </row>
    <row r="71" spans="1:105" s="72" customFormat="1" ht="12.75" x14ac:dyDescent="0.2">
      <c r="A71" s="69" t="s">
        <v>207</v>
      </c>
      <c r="B71" s="72">
        <v>2025</v>
      </c>
      <c r="C71" s="72">
        <f>B71+1</f>
        <v>2026</v>
      </c>
      <c r="D71" s="72">
        <f t="shared" ref="D71:AT71" si="23">C71+1</f>
        <v>2027</v>
      </c>
      <c r="E71" s="72">
        <f t="shared" si="23"/>
        <v>2028</v>
      </c>
      <c r="F71" s="72">
        <f t="shared" si="23"/>
        <v>2029</v>
      </c>
      <c r="G71" s="72">
        <f t="shared" si="23"/>
        <v>2030</v>
      </c>
      <c r="H71" s="72">
        <f t="shared" si="23"/>
        <v>2031</v>
      </c>
      <c r="I71" s="72">
        <f t="shared" si="23"/>
        <v>2032</v>
      </c>
      <c r="J71" s="72">
        <f t="shared" si="23"/>
        <v>2033</v>
      </c>
      <c r="K71" s="72">
        <f t="shared" si="23"/>
        <v>2034</v>
      </c>
      <c r="L71" s="72">
        <f t="shared" si="23"/>
        <v>2035</v>
      </c>
      <c r="M71" s="72">
        <f t="shared" si="23"/>
        <v>2036</v>
      </c>
      <c r="N71" s="72">
        <f t="shared" si="23"/>
        <v>2037</v>
      </c>
      <c r="O71" s="72">
        <f t="shared" si="23"/>
        <v>2038</v>
      </c>
      <c r="P71" s="72">
        <f t="shared" si="23"/>
        <v>2039</v>
      </c>
      <c r="Q71" s="72">
        <f t="shared" si="23"/>
        <v>2040</v>
      </c>
      <c r="R71" s="72">
        <f t="shared" si="23"/>
        <v>2041</v>
      </c>
      <c r="S71" s="72">
        <f t="shared" si="23"/>
        <v>2042</v>
      </c>
      <c r="T71" s="72">
        <f t="shared" si="23"/>
        <v>2043</v>
      </c>
      <c r="U71" s="72">
        <f t="shared" si="23"/>
        <v>2044</v>
      </c>
      <c r="V71" s="72">
        <f t="shared" si="23"/>
        <v>2045</v>
      </c>
      <c r="W71" s="72">
        <f t="shared" si="23"/>
        <v>2046</v>
      </c>
      <c r="X71" s="72">
        <f t="shared" si="23"/>
        <v>2047</v>
      </c>
      <c r="Y71" s="72">
        <f t="shared" si="23"/>
        <v>2048</v>
      </c>
      <c r="Z71" s="72">
        <f t="shared" si="23"/>
        <v>2049</v>
      </c>
      <c r="AA71" s="72">
        <f t="shared" si="23"/>
        <v>2050</v>
      </c>
      <c r="AB71" s="72">
        <f t="shared" si="23"/>
        <v>2051</v>
      </c>
      <c r="AC71" s="72">
        <f t="shared" si="23"/>
        <v>2052</v>
      </c>
      <c r="AD71" s="72">
        <f t="shared" si="23"/>
        <v>2053</v>
      </c>
      <c r="AE71" s="72">
        <f t="shared" si="23"/>
        <v>2054</v>
      </c>
      <c r="AF71" s="72">
        <f t="shared" si="23"/>
        <v>2055</v>
      </c>
      <c r="AG71" s="72">
        <f t="shared" si="23"/>
        <v>2056</v>
      </c>
      <c r="AH71" s="72">
        <f t="shared" si="23"/>
        <v>2057</v>
      </c>
      <c r="AI71" s="72">
        <f t="shared" si="23"/>
        <v>2058</v>
      </c>
      <c r="AJ71" s="72">
        <f t="shared" si="23"/>
        <v>2059</v>
      </c>
      <c r="AK71" s="72">
        <f t="shared" si="23"/>
        <v>2060</v>
      </c>
      <c r="AL71" s="72">
        <f t="shared" si="23"/>
        <v>2061</v>
      </c>
      <c r="AM71" s="72">
        <f t="shared" si="23"/>
        <v>2062</v>
      </c>
      <c r="AN71" s="72">
        <f t="shared" si="23"/>
        <v>2063</v>
      </c>
      <c r="AO71" s="72">
        <f t="shared" si="23"/>
        <v>2064</v>
      </c>
      <c r="AP71" s="72">
        <f t="shared" si="23"/>
        <v>2065</v>
      </c>
      <c r="AQ71" s="72">
        <f t="shared" si="23"/>
        <v>2066</v>
      </c>
      <c r="AR71" s="72">
        <f t="shared" si="23"/>
        <v>2067</v>
      </c>
      <c r="AS71" s="72">
        <f t="shared" si="23"/>
        <v>2068</v>
      </c>
      <c r="AT71" s="72">
        <f t="shared" si="23"/>
        <v>2069</v>
      </c>
      <c r="BA71" s="73"/>
      <c r="BB71" s="73"/>
      <c r="BC71" s="73"/>
      <c r="BD71" s="73"/>
      <c r="BE71" s="73"/>
      <c r="BF71" s="73"/>
      <c r="BG71" s="73"/>
      <c r="BH71" s="73"/>
      <c r="BI71" s="73"/>
      <c r="BJ71" s="73"/>
      <c r="BK71" s="73"/>
      <c r="BL71" s="73"/>
    </row>
    <row r="73" spans="1:105" x14ac:dyDescent="0.25">
      <c r="A73" s="20" t="s">
        <v>348</v>
      </c>
      <c r="B73" s="76">
        <f>IF(Diskontering!$B$16&lt;=Diskontering!$A$5,($B$40/1000000*Diskontering!B38),0)</f>
        <v>-2.8032085528541741</v>
      </c>
      <c r="C73" s="61">
        <f>IF(Diskontering!$B$16&lt;=Diskontering!$A$5,($B$40/1000000*Diskontering!C38),0)</f>
        <v>-2.762582341943244</v>
      </c>
      <c r="D73" s="61">
        <f>IF(Diskontering!$B$16&lt;=Diskontering!$A$5,($B$40/1000000*Diskontering!D38),0)</f>
        <v>-2.7225449166976898</v>
      </c>
      <c r="E73" s="61">
        <f>IF(Diskontering!$B$16&lt;=Diskontering!$A$5,($B$40/1000000*Diskontering!E38),0)</f>
        <v>-2.6830877439919267</v>
      </c>
      <c r="F73" s="61">
        <f>IF(Diskontering!$B$16&lt;=Diskontering!$A$5,($B$40/1000000*Diskontering!F38),0)</f>
        <v>-2.6442024143688556</v>
      </c>
      <c r="G73" s="61">
        <f>IF(Diskontering!$B$16&lt;=Diskontering!$A$5,($B$40/1000000*Diskontering!G38),0)</f>
        <v>-2.6058806402475683</v>
      </c>
      <c r="H73" s="61">
        <f>IF(Diskontering!$B$16&lt;=Diskontering!$A$5,($B$40/1000000*Diskontering!H38),0)</f>
        <v>-2.5681142541570243</v>
      </c>
      <c r="I73" s="61">
        <f>IF(Diskontering!$B$16&lt;=Diskontering!$A$5,($B$40/1000000*Diskontering!I38),0)</f>
        <v>-2.5308952069953286</v>
      </c>
      <c r="J73" s="61">
        <f>IF(Diskontering!$B$16&lt;=Diskontering!$A$5,($B$40/1000000*Diskontering!J38),0)</f>
        <v>-2.4942155663142369</v>
      </c>
      <c r="K73" s="61">
        <f>IF(Diskontering!$B$16&lt;=Diskontering!$A$5,($B$40/1000000*Diskontering!K38),0)</f>
        <v>-2.4580675146285236</v>
      </c>
      <c r="L73" s="61">
        <f>IF(Diskontering!$B$16&lt;=Diskontering!$A$5,($B$40/1000000*Diskontering!L38),0)</f>
        <v>-2.4224433477498497</v>
      </c>
      <c r="M73" s="61">
        <f>IF(Diskontering!$B$16&lt;=Diskontering!$A$5,($B$40/1000000*Diskontering!M38),0)</f>
        <v>-2.38733547314478</v>
      </c>
      <c r="N73" s="61">
        <f>IF(Diskontering!$B$16&lt;=Diskontering!$A$5,($B$40/1000000*Diskontering!N38),0)</f>
        <v>-2.3527364083165945</v>
      </c>
      <c r="O73" s="61">
        <f>IF(Diskontering!$B$16&lt;=Diskontering!$A$5,($B$40/1000000*Diskontering!O38),0)</f>
        <v>-2.3186387792105569</v>
      </c>
      <c r="P73" s="61">
        <f>IF(Diskontering!$B$16&lt;=Diskontering!$A$5,($B$40/1000000*Diskontering!P38),0)</f>
        <v>-2.2850353186422887</v>
      </c>
      <c r="Q73" s="61">
        <f>IF(Diskontering!$B$16&lt;=Diskontering!$A$5,($B$40/1000000*Diskontering!Q38),0)</f>
        <v>-2.2519188647489226</v>
      </c>
      <c r="R73" s="61">
        <f>IF(Diskontering!$B$16&lt;=Diskontering!$A$5,($B$40/1000000*Diskontering!R38),0)</f>
        <v>-2.2192823594627065</v>
      </c>
      <c r="S73" s="61">
        <f>IF(Diskontering!$B$16&lt;=Diskontering!$A$5,($B$40/1000000*Diskontering!S38),0)</f>
        <v>-2.1871188470067251</v>
      </c>
      <c r="T73" s="61">
        <f>IF(Diskontering!$B$16&lt;=Diskontering!$A$5,($B$40/1000000*Diskontering!T38),0)</f>
        <v>-2.1554214724124252</v>
      </c>
      <c r="U73" s="61">
        <f>IF(Diskontering!$B$16&lt;=Diskontering!$A$5,($B$40/1000000*Diskontering!U38),0)</f>
        <v>-2.1241834800586221</v>
      </c>
      <c r="V73" s="61">
        <f>IF(Diskontering!$B$16&lt;=Diskontering!$A$5,($B$40/1000000*Diskontering!V38),0)</f>
        <v>-2.0933982122316857</v>
      </c>
      <c r="W73" s="61">
        <f>IF(Diskontering!$B$16&lt;=Diskontering!$A$5,($B$40/1000000*Diskontering!W38),0)</f>
        <v>-2.0630591077065894</v>
      </c>
      <c r="X73" s="61">
        <f>IF(Diskontering!$B$16&lt;=Diskontering!$A$5,($B$40/1000000*Diskontering!X38),0)</f>
        <v>-2.0331597003485231</v>
      </c>
      <c r="Y73" s="61">
        <f>IF(Diskontering!$B$16&lt;=Diskontering!$A$5,($B$40/1000000*Diskontering!Y38),0)</f>
        <v>-2.0036936177347764</v>
      </c>
      <c r="Z73" s="61">
        <f>IF(Diskontering!$B$16&lt;=Diskontering!$A$5,($B$40/1000000*Diskontering!Z38),0)</f>
        <v>-1.9746545797965913</v>
      </c>
      <c r="AA73" s="61">
        <f>IF(Diskontering!$B$16&lt;=Diskontering!$A$5,($B$40/1000000*Diskontering!AA38),0)</f>
        <v>-1.9460363974806987</v>
      </c>
      <c r="AB73" s="61">
        <f>IF(Diskontering!$B$16&lt;=Diskontering!$A$5,($B$40/1000000*Diskontering!AB38),0)</f>
        <v>-1.9178329714302538</v>
      </c>
      <c r="AC73" s="61">
        <f>IF(Diskontering!$B$16&lt;=Diskontering!$A$5,($B$40/1000000*Diskontering!AC38),0)</f>
        <v>-1.8900382906848883</v>
      </c>
      <c r="AD73" s="61">
        <f>IF(Diskontering!$B$16&lt;=Diskontering!$A$5,($B$40/1000000*Diskontering!AD38),0)</f>
        <v>-1.8626464313996003</v>
      </c>
      <c r="AE73" s="61">
        <f>IF(Diskontering!$B$16&lt;=Diskontering!$A$5,($B$40/1000000*Diskontering!AE38),0)</f>
        <v>-1.835651555582215</v>
      </c>
      <c r="AF73" s="61">
        <f>IF(Diskontering!$B$16&lt;=Diskontering!$A$5,($B$40/1000000*Diskontering!AF38),0)</f>
        <v>-1.8090479098491397</v>
      </c>
      <c r="AG73" s="61">
        <f>IF(Diskontering!$B$16&lt;=Diskontering!$A$5,($B$40/1000000*Diskontering!AG38),0)</f>
        <v>-1.7828298241991523</v>
      </c>
      <c r="AH73" s="61">
        <f>IF(Diskontering!$B$16&lt;=Diskontering!$A$5,($B$40/1000000*Diskontering!AH38),0)</f>
        <v>-1.756991710804962</v>
      </c>
      <c r="AI73" s="61">
        <f>IF(Diskontering!$B$16&lt;=Diskontering!$A$5,($B$40/1000000*Diskontering!AI38),0)</f>
        <v>-1.7315280628222813</v>
      </c>
      <c r="AJ73" s="61">
        <f>IF(Diskontering!$B$16&lt;=Diskontering!$A$5,($B$40/1000000*Diskontering!AJ38),0)</f>
        <v>-1.7064334532161616</v>
      </c>
      <c r="AK73" s="61">
        <f>IF(Diskontering!$B$16&lt;=Diskontering!$A$5,($B$40/1000000*Diskontering!AK38),0)</f>
        <v>-1.681702533604333</v>
      </c>
      <c r="AL73" s="61">
        <f>IF(Diskontering!$B$16&lt;=Diskontering!$A$5,($B$40/1000000*Diskontering!AL38),0)</f>
        <v>-1.6573300331173138</v>
      </c>
      <c r="AM73" s="61">
        <f>IF(Diskontering!$B$16&lt;=Diskontering!$A$5,($B$40/1000000*Diskontering!AM38),0)</f>
        <v>-1.6333107572750343</v>
      </c>
      <c r="AN73" s="61">
        <f>IF(Diskontering!$B$16&lt;=Diskontering!$A$5,($B$40/1000000*Diskontering!AN38),0)</f>
        <v>-1.609639586879744</v>
      </c>
      <c r="AO73" s="61">
        <f>IF(Diskontering!$B$16&lt;=Diskontering!$A$5,($B$40/1000000*Diskontering!AO38),0)</f>
        <v>-1.5863114769249653</v>
      </c>
      <c r="AP73" s="61">
        <f>IF(Diskontering!$B$16&lt;=Diskontering!$A$5,($B$40/1000000*Diskontering!AP38),0)</f>
        <v>-1.5633214555202559</v>
      </c>
      <c r="AQ73" s="61">
        <f>IF(Diskontering!$B$16&lt;=Diskontering!$A$5,($B$40/1000000*Diskontering!AQ38),0)</f>
        <v>-1.5406646228315566</v>
      </c>
      <c r="AR73" s="61">
        <f>IF(Diskontering!$B$16&lt;=Diskontering!$A$5,($B$40/1000000*Diskontering!AR38),0)</f>
        <v>-1.5183361500368966</v>
      </c>
      <c r="AS73" s="61">
        <f>IF(Diskontering!$B$16&lt;=Diskontering!$A$5,($B$40/1000000*Diskontering!AS38),0)</f>
        <v>-1.4963312782972316</v>
      </c>
      <c r="AT73" s="61">
        <f>IF(Diskontering!$B$16&lt;=Diskontering!$A$5,($B$40/1000000*Diskontering!AT38),0)</f>
        <v>-1.4746453177421994</v>
      </c>
    </row>
    <row r="74" spans="1:105" x14ac:dyDescent="0.25">
      <c r="A74" s="20" t="s">
        <v>276</v>
      </c>
      <c r="B74" s="61">
        <f>IF(Diskontering!B16&lt;=Diskontering!$A$5,($B$41/1000000*Diskontering!B38),0)</f>
        <v>-1.5270171171927955E-2</v>
      </c>
      <c r="C74" s="61">
        <f>IF(Diskontering!C16&lt;=Diskontering!$A$5,($B$41/1000000*Diskontering!C38),0)</f>
        <v>-1.504886434334929E-2</v>
      </c>
      <c r="D74" s="61">
        <f>IF(Diskontering!D16&lt;=Diskontering!$A$5,($B$41/1000000*Diskontering!D38),0)</f>
        <v>-1.4830764860112344E-2</v>
      </c>
      <c r="E74" s="61">
        <f>IF(Diskontering!E16&lt;=Diskontering!$A$5,($B$41/1000000*Diskontering!E38),0)</f>
        <v>-1.4615826238951298E-2</v>
      </c>
      <c r="F74" s="61">
        <f>IF(Diskontering!F16&lt;=Diskontering!$A$5,($B$41/1000000*Diskontering!F38),0)</f>
        <v>-1.4404002670270845E-2</v>
      </c>
      <c r="G74" s="61">
        <f>IF(Diskontering!G16&lt;=Diskontering!$A$5,($B$41/1000000*Diskontering!G38),0)</f>
        <v>-1.4195249008382866E-2</v>
      </c>
      <c r="H74" s="61">
        <f>IF(Diskontering!H16&lt;=Diskontering!$A$5,($B$41/1000000*Diskontering!H38),0)</f>
        <v>-1.3989520761884564E-2</v>
      </c>
      <c r="I74" s="61">
        <f>IF(Diskontering!I16&lt;=Diskontering!$A$5,($B$41/1000000*Diskontering!I38),0)</f>
        <v>-1.3786774084176093E-2</v>
      </c>
      <c r="J74" s="61">
        <f>IF(Diskontering!J16&lt;=Diskontering!$A$5,($B$41/1000000*Diskontering!J38),0)</f>
        <v>-1.3586965764115572E-2</v>
      </c>
      <c r="K74" s="61">
        <f>IF(Diskontering!K16&lt;=Diskontering!$A$5,($B$41/1000000*Diskontering!K38),0)</f>
        <v>-1.339005321680955E-2</v>
      </c>
      <c r="L74" s="61">
        <f>IF(Diskontering!L16&lt;=Diskontering!$A$5,($B$41/1000000*Diskontering!L38),0)</f>
        <v>-1.319599447453695E-2</v>
      </c>
      <c r="M74" s="61">
        <f>IF(Diskontering!M16&lt;=Diskontering!$A$5,($B$41/1000000*Diskontering!M38),0)</f>
        <v>-1.3004748177804533E-2</v>
      </c>
      <c r="N74" s="61">
        <f>IF(Diskontering!N16&lt;=Diskontering!$A$5,($B$41/1000000*Diskontering!N38),0)</f>
        <v>-1.2816273566532001E-2</v>
      </c>
      <c r="O74" s="61">
        <f>IF(Diskontering!O16&lt;=Diskontering!$A$5,($B$41/1000000*Diskontering!O38),0)</f>
        <v>-1.2630530471364873E-2</v>
      </c>
      <c r="P74" s="61">
        <f>IF(Diskontering!P16&lt;=Diskontering!$A$5,($B$41/1000000*Diskontering!P38),0)</f>
        <v>-1.244747930511321E-2</v>
      </c>
      <c r="Q74" s="61">
        <f>IF(Diskontering!Q16&lt;=Diskontering!$A$5,($B$41/1000000*Diskontering!Q38),0)</f>
        <v>-1.226708105431447E-2</v>
      </c>
      <c r="R74" s="61">
        <f>IF(Diskontering!R16&lt;=Diskontering!$A$5,($B$41/1000000*Diskontering!R38),0)</f>
        <v>-1.2089297270918609E-2</v>
      </c>
      <c r="S74" s="61">
        <f>IF(Diskontering!S16&lt;=Diskontering!$A$5,($B$41/1000000*Diskontering!S38),0)</f>
        <v>-1.1914090064093701E-2</v>
      </c>
      <c r="T74" s="61">
        <f>IF(Diskontering!T16&lt;=Diskontering!$A$5,($B$41/1000000*Diskontering!T38),0)</f>
        <v>-1.1741422092150318E-2</v>
      </c>
      <c r="U74" s="61">
        <f>IF(Diskontering!U16&lt;=Diskontering!$A$5,($B$41/1000000*Diskontering!U38),0)</f>
        <v>-1.1571256554582922E-2</v>
      </c>
      <c r="V74" s="61">
        <f>IF(Diskontering!V16&lt;=Diskontering!$A$5,($B$41/1000000*Diskontering!V38),0)</f>
        <v>-1.1403557184226649E-2</v>
      </c>
      <c r="W74" s="61">
        <f>IF(Diskontering!W16&lt;=Diskontering!$A$5,($B$41/1000000*Diskontering!W38),0)</f>
        <v>-1.1238288239527716E-2</v>
      </c>
      <c r="X74" s="61">
        <f>IF(Diskontering!X16&lt;=Diskontering!$A$5,($B$41/1000000*Diskontering!X38),0)</f>
        <v>-1.1075414496925867E-2</v>
      </c>
      <c r="Y74" s="61">
        <f>IF(Diskontering!Y16&lt;=Diskontering!$A$5,($B$41/1000000*Diskontering!Y38),0)</f>
        <v>-1.0914901243347229E-2</v>
      </c>
      <c r="Z74" s="61">
        <f>IF(Diskontering!Z16&lt;=Diskontering!$A$5,($B$41/1000000*Diskontering!Z38),0)</f>
        <v>-1.0756714268805966E-2</v>
      </c>
      <c r="AA74" s="61">
        <f>IF(Diskontering!AA16&lt;=Diskontering!$A$5,($B$41/1000000*Diskontering!AA38),0)</f>
        <v>-1.0600819859113127E-2</v>
      </c>
      <c r="AB74" s="61">
        <f>IF(Diskontering!AB16&lt;=Diskontering!$A$5,($B$41/1000000*Diskontering!AB38),0)</f>
        <v>-1.0447184788691197E-2</v>
      </c>
      <c r="AC74" s="61">
        <f>IF(Diskontering!AC16&lt;=Diskontering!$A$5,($B$41/1000000*Diskontering!AC38),0)</f>
        <v>-1.0295776313492776E-2</v>
      </c>
      <c r="AD74" s="61">
        <f>IF(Diskontering!AD16&lt;=Diskontering!$A$5,($B$41/1000000*Diskontering!AD38),0)</f>
        <v>-1.0146562164021867E-2</v>
      </c>
      <c r="AE74" s="61">
        <f>IF(Diskontering!AE16&lt;=Diskontering!$A$5,($B$41/1000000*Diskontering!AE38),0)</f>
        <v>-9.9995105384563347E-3</v>
      </c>
      <c r="AF74" s="61">
        <f>IF(Diskontering!AF16&lt;=Diskontering!$A$5,($B$41/1000000*Diskontering!AF38),0)</f>
        <v>-9.8545900958700115E-3</v>
      </c>
      <c r="AG74" s="61">
        <f>IF(Diskontering!AG16&lt;=Diskontering!$A$5,($B$41/1000000*Diskontering!AG38),0)</f>
        <v>-9.7117699495530563E-3</v>
      </c>
      <c r="AH74" s="61">
        <f>IF(Diskontering!AH16&lt;=Diskontering!$A$5,($B$41/1000000*Diskontering!AH38),0)</f>
        <v>-9.5710196604291004E-3</v>
      </c>
      <c r="AI74" s="61">
        <f>IF(Diskontering!AI16&lt;=Diskontering!$A$5,($B$41/1000000*Diskontering!AI38),0)</f>
        <v>-9.4323092305678095E-3</v>
      </c>
      <c r="AJ74" s="61">
        <f>IF(Diskontering!AJ16&lt;=Diskontering!$A$5,($B$41/1000000*Diskontering!AJ38),0)</f>
        <v>-9.2956090967914653E-3</v>
      </c>
      <c r="AK74" s="61">
        <f>IF(Diskontering!AK16&lt;=Diskontering!$A$5,($B$41/1000000*Diskontering!AK38),0)</f>
        <v>-9.1608901243741964E-3</v>
      </c>
      <c r="AL74" s="61">
        <f>IF(Diskontering!AL16&lt;=Diskontering!$A$5,($B$41/1000000*Diskontering!AL38),0)</f>
        <v>-9.0281236008325425E-3</v>
      </c>
      <c r="AM74" s="61">
        <f>IF(Diskontering!AM16&lt;=Diskontering!$A$5,($B$41/1000000*Diskontering!AM38),0)</f>
        <v>-8.8972812298059867E-3</v>
      </c>
      <c r="AN74" s="61">
        <f>IF(Diskontering!AN16&lt;=Diskontering!$A$5,($B$41/1000000*Diskontering!AN38),0)</f>
        <v>-8.7683351250261912E-3</v>
      </c>
      <c r="AO74" s="61">
        <f>IF(Diskontering!AO16&lt;=Diskontering!$A$5,($B$41/1000000*Diskontering!AO38),0)</f>
        <v>-8.6412578043736383E-3</v>
      </c>
      <c r="AP74" s="61">
        <f>IF(Diskontering!AP16&lt;=Diskontering!$A$5,($B$41/1000000*Diskontering!AP38),0)</f>
        <v>-8.5160221840203977E-3</v>
      </c>
      <c r="AQ74" s="61">
        <f>IF(Diskontering!AQ16&lt;=Diskontering!$A$5,($B$41/1000000*Diskontering!AQ38),0)</f>
        <v>-8.3926015726577836E-3</v>
      </c>
      <c r="AR74" s="61">
        <f>IF(Diskontering!AR16&lt;=Diskontering!$A$5,($B$41/1000000*Diskontering!AR38),0)</f>
        <v>-8.2709696658076724E-3</v>
      </c>
      <c r="AS74" s="61">
        <f>IF(Diskontering!AS16&lt;=Diskontering!$A$5,($B$41/1000000*Diskontering!AS38),0)</f>
        <v>-8.1511005402162568E-3</v>
      </c>
      <c r="AT74" s="61">
        <f>IF(Diskontering!AT16&lt;=Diskontering!$A$5,($B$41/1000000*Diskontering!AT38),0)</f>
        <v>-8.0329686483290672E-3</v>
      </c>
    </row>
    <row r="75" spans="1:105" x14ac:dyDescent="0.25">
      <c r="A75" s="20" t="s">
        <v>349</v>
      </c>
      <c r="B75" s="61">
        <f>B73+B74</f>
        <v>-2.818478724026102</v>
      </c>
      <c r="C75" s="61">
        <f t="shared" ref="C75:AT75" si="24">C73+C74</f>
        <v>-2.7776312062865935</v>
      </c>
      <c r="D75" s="61">
        <f t="shared" si="24"/>
        <v>-2.7373756815578023</v>
      </c>
      <c r="E75" s="61">
        <f t="shared" si="24"/>
        <v>-2.6977035702308778</v>
      </c>
      <c r="F75" s="61">
        <f t="shared" si="24"/>
        <v>-2.6586064170391266</v>
      </c>
      <c r="G75" s="61">
        <f t="shared" si="24"/>
        <v>-2.620075889255951</v>
      </c>
      <c r="H75" s="61">
        <f t="shared" si="24"/>
        <v>-2.5821037749189091</v>
      </c>
      <c r="I75" s="61">
        <f t="shared" si="24"/>
        <v>-2.5446819810795045</v>
      </c>
      <c r="J75" s="61">
        <f t="shared" si="24"/>
        <v>-2.5078025320783524</v>
      </c>
      <c r="K75" s="61">
        <f t="shared" si="24"/>
        <v>-2.471457567845333</v>
      </c>
      <c r="L75" s="61">
        <f t="shared" si="24"/>
        <v>-2.4356393422243867</v>
      </c>
      <c r="M75" s="61">
        <f t="shared" si="24"/>
        <v>-2.4003402213225846</v>
      </c>
      <c r="N75" s="61">
        <f t="shared" si="24"/>
        <v>-2.3655526818831265</v>
      </c>
      <c r="O75" s="61">
        <f t="shared" si="24"/>
        <v>-2.3312693096819217</v>
      </c>
      <c r="P75" s="61">
        <f t="shared" si="24"/>
        <v>-2.297482797947402</v>
      </c>
      <c r="Q75" s="61">
        <f t="shared" si="24"/>
        <v>-2.264185945803237</v>
      </c>
      <c r="R75" s="61">
        <f t="shared" si="24"/>
        <v>-2.231371656733625</v>
      </c>
      <c r="S75" s="61">
        <f t="shared" si="24"/>
        <v>-2.1990329370708186</v>
      </c>
      <c r="T75" s="61">
        <f t="shared" si="24"/>
        <v>-2.1671628945045756</v>
      </c>
      <c r="U75" s="61">
        <f t="shared" si="24"/>
        <v>-2.135754736613205</v>
      </c>
      <c r="V75" s="61">
        <f t="shared" si="24"/>
        <v>-2.1048017694159125</v>
      </c>
      <c r="W75" s="61">
        <f t="shared" si="24"/>
        <v>-2.0742973959461173</v>
      </c>
      <c r="X75" s="61">
        <f t="shared" si="24"/>
        <v>-2.0442351148454492</v>
      </c>
      <c r="Y75" s="61">
        <f t="shared" si="24"/>
        <v>-2.0146085189781235</v>
      </c>
      <c r="Z75" s="61">
        <f t="shared" si="24"/>
        <v>-1.9854112940653972</v>
      </c>
      <c r="AA75" s="61">
        <f t="shared" si="24"/>
        <v>-1.9566372173398119</v>
      </c>
      <c r="AB75" s="61">
        <f t="shared" si="24"/>
        <v>-1.9282801562189449</v>
      </c>
      <c r="AC75" s="61">
        <f t="shared" si="24"/>
        <v>-1.900334066998381</v>
      </c>
      <c r="AD75" s="61">
        <f t="shared" si="24"/>
        <v>-1.8727929935636221</v>
      </c>
      <c r="AE75" s="61">
        <f t="shared" si="24"/>
        <v>-1.8456510661206713</v>
      </c>
      <c r="AF75" s="61">
        <f t="shared" si="24"/>
        <v>-1.8189024999450096</v>
      </c>
      <c r="AG75" s="61">
        <f t="shared" si="24"/>
        <v>-1.7925415941487053</v>
      </c>
      <c r="AH75" s="61">
        <f t="shared" si="24"/>
        <v>-1.766562730465391</v>
      </c>
      <c r="AI75" s="61">
        <f t="shared" si="24"/>
        <v>-1.740960372052849</v>
      </c>
      <c r="AJ75" s="61">
        <f t="shared" si="24"/>
        <v>-1.7157290623129531</v>
      </c>
      <c r="AK75" s="61">
        <f t="shared" si="24"/>
        <v>-1.6908634237287072</v>
      </c>
      <c r="AL75" s="61">
        <f t="shared" si="24"/>
        <v>-1.6663581567181462</v>
      </c>
      <c r="AM75" s="61">
        <f t="shared" si="24"/>
        <v>-1.6422080385048403</v>
      </c>
      <c r="AN75" s="61">
        <f t="shared" si="24"/>
        <v>-1.6184079220047702</v>
      </c>
      <c r="AO75" s="61">
        <f t="shared" si="24"/>
        <v>-1.5949527347293391</v>
      </c>
      <c r="AP75" s="61">
        <f t="shared" si="24"/>
        <v>-1.5718374777042763</v>
      </c>
      <c r="AQ75" s="61">
        <f t="shared" si="24"/>
        <v>-1.5490572244042145</v>
      </c>
      <c r="AR75" s="61">
        <f t="shared" si="24"/>
        <v>-1.5266071197027042</v>
      </c>
      <c r="AS75" s="61">
        <f t="shared" si="24"/>
        <v>-1.5044823788374477</v>
      </c>
      <c r="AT75" s="61">
        <f t="shared" si="24"/>
        <v>-1.4826782863905286</v>
      </c>
    </row>
    <row r="77" spans="1:105" x14ac:dyDescent="0.25">
      <c r="B77" s="19" t="s">
        <v>269</v>
      </c>
      <c r="C77" s="19" t="s">
        <v>269</v>
      </c>
      <c r="D77" s="19" t="s">
        <v>269</v>
      </c>
      <c r="E77" s="19" t="s">
        <v>269</v>
      </c>
      <c r="F77" s="19" t="s">
        <v>269</v>
      </c>
      <c r="G77" s="19" t="s">
        <v>269</v>
      </c>
      <c r="H77" s="19" t="s">
        <v>269</v>
      </c>
      <c r="I77" s="19" t="s">
        <v>269</v>
      </c>
      <c r="J77" s="19" t="s">
        <v>269</v>
      </c>
      <c r="K77" s="19" t="s">
        <v>269</v>
      </c>
      <c r="L77" s="19" t="s">
        <v>269</v>
      </c>
      <c r="M77" s="19" t="s">
        <v>269</v>
      </c>
      <c r="N77" s="19" t="s">
        <v>269</v>
      </c>
      <c r="O77" s="19" t="s">
        <v>269</v>
      </c>
      <c r="P77" s="19" t="s">
        <v>269</v>
      </c>
      <c r="Q77" s="19" t="s">
        <v>269</v>
      </c>
      <c r="R77" s="19" t="s">
        <v>269</v>
      </c>
      <c r="S77" s="19" t="s">
        <v>269</v>
      </c>
      <c r="T77" s="19" t="s">
        <v>269</v>
      </c>
      <c r="U77" s="19" t="s">
        <v>269</v>
      </c>
      <c r="V77" s="19" t="s">
        <v>269</v>
      </c>
      <c r="W77" s="19" t="s">
        <v>269</v>
      </c>
      <c r="X77" s="19" t="s">
        <v>269</v>
      </c>
      <c r="Y77" s="19" t="s">
        <v>269</v>
      </c>
      <c r="Z77" s="19" t="s">
        <v>269</v>
      </c>
      <c r="AA77" s="19" t="s">
        <v>269</v>
      </c>
      <c r="AB77" s="19" t="s">
        <v>269</v>
      </c>
      <c r="AC77" s="19" t="s">
        <v>269</v>
      </c>
      <c r="AD77" s="19" t="s">
        <v>269</v>
      </c>
      <c r="AE77" s="19" t="s">
        <v>269</v>
      </c>
      <c r="AF77" s="19" t="s">
        <v>269</v>
      </c>
      <c r="AG77" s="19" t="s">
        <v>269</v>
      </c>
      <c r="AH77" s="19" t="s">
        <v>269</v>
      </c>
      <c r="AI77" s="19" t="s">
        <v>269</v>
      </c>
      <c r="AJ77" s="19" t="s">
        <v>269</v>
      </c>
      <c r="AK77" s="19" t="s">
        <v>269</v>
      </c>
      <c r="AL77" s="19" t="s">
        <v>269</v>
      </c>
      <c r="AM77" s="19" t="s">
        <v>269</v>
      </c>
      <c r="AN77" s="19" t="s">
        <v>269</v>
      </c>
      <c r="AO77" s="19" t="s">
        <v>269</v>
      </c>
      <c r="AP77" s="19" t="s">
        <v>269</v>
      </c>
      <c r="AQ77" s="150" t="s">
        <v>269</v>
      </c>
      <c r="AR77" s="150" t="s">
        <v>269</v>
      </c>
      <c r="AS77" s="150" t="s">
        <v>269</v>
      </c>
      <c r="AT77" s="150" t="s">
        <v>269</v>
      </c>
    </row>
    <row r="78" spans="1:105" s="64" customFormat="1" ht="15.75" x14ac:dyDescent="0.25">
      <c r="A78" s="154" t="s">
        <v>350</v>
      </c>
      <c r="B78" s="155">
        <f>B75</f>
        <v>-2.818478724026102</v>
      </c>
      <c r="C78" s="155">
        <f>B78+C75</f>
        <v>-5.5961099303126955</v>
      </c>
      <c r="D78" s="155">
        <f>C78+D75</f>
        <v>-8.333485611870497</v>
      </c>
      <c r="E78" s="155">
        <f>D78+E75</f>
        <v>-11.031189182101375</v>
      </c>
      <c r="F78" s="155">
        <f t="shared" ref="F78:AT78" si="25">E78+F75</f>
        <v>-13.689795599140503</v>
      </c>
      <c r="G78" s="155">
        <f t="shared" si="25"/>
        <v>-16.309871488396453</v>
      </c>
      <c r="H78" s="155">
        <f t="shared" si="25"/>
        <v>-18.891975263315363</v>
      </c>
      <c r="I78" s="155">
        <f t="shared" si="25"/>
        <v>-21.436657244394866</v>
      </c>
      <c r="J78" s="155">
        <f t="shared" si="25"/>
        <v>-23.944459776473217</v>
      </c>
      <c r="K78" s="155">
        <f t="shared" si="25"/>
        <v>-26.415917344318551</v>
      </c>
      <c r="L78" s="155">
        <f t="shared" si="25"/>
        <v>-28.851556686542938</v>
      </c>
      <c r="M78" s="155">
        <f t="shared" si="25"/>
        <v>-31.251896907865522</v>
      </c>
      <c r="N78" s="155">
        <f t="shared" si="25"/>
        <v>-33.617449589748645</v>
      </c>
      <c r="O78" s="155">
        <f t="shared" si="25"/>
        <v>-35.948718899430567</v>
      </c>
      <c r="P78" s="155">
        <f t="shared" si="25"/>
        <v>-38.24620169737797</v>
      </c>
      <c r="Q78" s="155">
        <f t="shared" si="25"/>
        <v>-40.510387643181204</v>
      </c>
      <c r="R78" s="155">
        <f t="shared" si="25"/>
        <v>-42.741759299914833</v>
      </c>
      <c r="S78" s="155">
        <f t="shared" si="25"/>
        <v>-44.940792236985651</v>
      </c>
      <c r="T78" s="155">
        <f t="shared" si="25"/>
        <v>-47.107955131490229</v>
      </c>
      <c r="U78" s="155">
        <f t="shared" si="25"/>
        <v>-49.243709868103437</v>
      </c>
      <c r="V78" s="155">
        <f t="shared" si="25"/>
        <v>-51.348511637519351</v>
      </c>
      <c r="W78" s="155">
        <f t="shared" si="25"/>
        <v>-53.422809033465469</v>
      </c>
      <c r="X78" s="155">
        <f t="shared" si="25"/>
        <v>-55.467044148310919</v>
      </c>
      <c r="Y78" s="155">
        <f t="shared" si="25"/>
        <v>-57.48165266728904</v>
      </c>
      <c r="Z78" s="155">
        <f t="shared" si="25"/>
        <v>-59.467063961354441</v>
      </c>
      <c r="AA78" s="155">
        <f t="shared" si="25"/>
        <v>-61.423701178694252</v>
      </c>
      <c r="AB78" s="155">
        <f t="shared" si="25"/>
        <v>-63.351981334913198</v>
      </c>
      <c r="AC78" s="155">
        <f t="shared" si="25"/>
        <v>-65.252315401911574</v>
      </c>
      <c r="AD78" s="155">
        <f t="shared" si="25"/>
        <v>-67.125108395475195</v>
      </c>
      <c r="AE78" s="155">
        <f t="shared" si="25"/>
        <v>-68.970759461595861</v>
      </c>
      <c r="AF78" s="155">
        <f t="shared" si="25"/>
        <v>-70.789661961540872</v>
      </c>
      <c r="AG78" s="155">
        <f t="shared" si="25"/>
        <v>-72.582203555689574</v>
      </c>
      <c r="AH78" s="155">
        <f t="shared" si="25"/>
        <v>-74.348766286154969</v>
      </c>
      <c r="AI78" s="155">
        <f t="shared" si="25"/>
        <v>-76.089726658207823</v>
      </c>
      <c r="AJ78" s="155">
        <f t="shared" si="25"/>
        <v>-77.805455720520783</v>
      </c>
      <c r="AK78" s="155">
        <f t="shared" si="25"/>
        <v>-79.496319144249483</v>
      </c>
      <c r="AL78" s="155">
        <f t="shared" si="25"/>
        <v>-81.16267730096763</v>
      </c>
      <c r="AM78" s="155">
        <f t="shared" si="25"/>
        <v>-82.804885339472463</v>
      </c>
      <c r="AN78" s="155">
        <f t="shared" si="25"/>
        <v>-84.423293261477227</v>
      </c>
      <c r="AO78" s="155">
        <f t="shared" si="25"/>
        <v>-86.018245996206559</v>
      </c>
      <c r="AP78" s="155">
        <f t="shared" si="25"/>
        <v>-87.590083473910838</v>
      </c>
      <c r="AQ78" s="155">
        <f t="shared" si="25"/>
        <v>-89.139140698315046</v>
      </c>
      <c r="AR78" s="155">
        <f t="shared" si="25"/>
        <v>-90.665747818017749</v>
      </c>
      <c r="AS78" s="155">
        <f>AR78+AS75</f>
        <v>-92.170230196855201</v>
      </c>
      <c r="AT78" s="155">
        <f t="shared" si="25"/>
        <v>-93.652908483245724</v>
      </c>
      <c r="AU78" s="75"/>
      <c r="AV78" s="75"/>
      <c r="AW78" s="75"/>
      <c r="AX78" s="75"/>
      <c r="AY78" s="75"/>
      <c r="AZ78" s="75"/>
      <c r="BA78" s="63"/>
      <c r="BB78" s="63"/>
      <c r="BC78" s="63"/>
      <c r="BD78" s="63"/>
      <c r="BE78" s="63"/>
      <c r="BF78" s="63"/>
      <c r="BG78" s="63"/>
      <c r="BH78" s="63"/>
      <c r="BI78" s="63"/>
      <c r="BJ78" s="63"/>
      <c r="BK78" s="63"/>
      <c r="BL78" s="63"/>
    </row>
    <row r="79" spans="1:105" s="64" customFormat="1" ht="15.75" x14ac:dyDescent="0.2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49"/>
      <c r="AV79" s="149"/>
      <c r="AW79" s="149"/>
      <c r="AX79" s="149"/>
      <c r="AY79" s="149"/>
      <c r="AZ79" s="149"/>
      <c r="BA79" s="63"/>
      <c r="BB79" s="63"/>
      <c r="BC79" s="63"/>
      <c r="BD79" s="63"/>
      <c r="BE79" s="63"/>
      <c r="BF79" s="63"/>
      <c r="BG79" s="63"/>
      <c r="BH79" s="63"/>
      <c r="BI79" s="63"/>
      <c r="BJ79" s="63"/>
      <c r="BK79" s="63"/>
      <c r="BL79" s="63"/>
    </row>
    <row r="80" spans="1:105" ht="15.75" x14ac:dyDescent="0.25">
      <c r="A80" s="157" t="s">
        <v>335</v>
      </c>
    </row>
    <row r="81" spans="1:64" x14ac:dyDescent="0.25">
      <c r="A81" s="20" t="s">
        <v>351</v>
      </c>
      <c r="B81" s="76">
        <f>IF(Diskontering!B16&lt;=Diskontering!$A$5,($B$46/1000000*Diskontering!B38),0)</f>
        <v>1.1957832291524417E-2</v>
      </c>
      <c r="C81" s="76">
        <f>IF(Diskontering!C16&lt;=Diskontering!$A$5,($B$46/1000000*Diskontering!C38),0)</f>
        <v>1.1784530374255949E-2</v>
      </c>
      <c r="D81" s="76">
        <f>IF(Diskontering!D16&lt;=Diskontering!$A$5,($B$46/1000000*Diskontering!D38),0)</f>
        <v>1.1613740078976876E-2</v>
      </c>
      <c r="E81" s="76">
        <f>IF(Diskontering!E16&lt;=Diskontering!$A$5,($B$46/1000000*Diskontering!E38),0)</f>
        <v>1.1445425005368517E-2</v>
      </c>
      <c r="F81" s="76">
        <f>IF(Diskontering!F16&lt;=Diskontering!$A$5,($B$46/1000000*Diskontering!F38),0)</f>
        <v>1.1279549280653034E-2</v>
      </c>
      <c r="G81" s="76">
        <f>IF(Diskontering!G16&lt;=Diskontering!$A$5,($B$46/1000000*Diskontering!G38),0)</f>
        <v>1.1116077551947918E-2</v>
      </c>
      <c r="H81" s="76">
        <f>IF(Diskontering!H16&lt;=Diskontering!$A$5,($B$46/1000000*Diskontering!H38),0)</f>
        <v>1.0954974978731283E-2</v>
      </c>
      <c r="I81" s="76">
        <f>IF(Diskontering!I16&lt;=Diskontering!$A$5,($B$46/1000000*Diskontering!I38),0)</f>
        <v>1.0796207225416339E-2</v>
      </c>
      <c r="J81" s="76">
        <f>IF(Diskontering!J16&lt;=Diskontering!$A$5,($B$46/1000000*Diskontering!J38),0)</f>
        <v>1.0639740454033493E-2</v>
      </c>
      <c r="K81" s="76">
        <f>IF(Diskontering!K16&lt;=Diskontering!$A$5,($B$46/1000000*Diskontering!K38),0)</f>
        <v>1.0485541317018517E-2</v>
      </c>
      <c r="L81" s="76">
        <f>IF(Diskontering!L16&lt;=Diskontering!$A$5,($B$46/1000000*Diskontering!L38),0)</f>
        <v>1.0333576950105207E-2</v>
      </c>
      <c r="M81" s="76">
        <f>IF(Diskontering!M16&lt;=Diskontering!$A$5,($B$46/1000000*Diskontering!M38),0)</f>
        <v>1.0183814965321074E-2</v>
      </c>
      <c r="N81" s="76">
        <f>IF(Diskontering!N16&lt;=Diskontering!$A$5,($B$46/1000000*Diskontering!N38),0)</f>
        <v>1.0036223444084535E-2</v>
      </c>
      <c r="O81" s="76">
        <f>IF(Diskontering!O16&lt;=Diskontering!$A$5,($B$46/1000000*Diskontering!O38),0)</f>
        <v>9.890770930402153E-3</v>
      </c>
      <c r="P81" s="76">
        <f>IF(Diskontering!P16&lt;=Diskontering!$A$5,($B$46/1000000*Diskontering!P38),0)</f>
        <v>9.7474264241644432E-3</v>
      </c>
      <c r="Q81" s="76">
        <f>IF(Diskontering!Q16&lt;=Diskontering!$A$5,($B$46/1000000*Diskontering!Q38),0)</f>
        <v>9.6061593745388734E-3</v>
      </c>
      <c r="R81" s="76">
        <f>IF(Diskontering!R16&lt;=Diskontering!$A$5,($B$46/1000000*Diskontering!R38),0)</f>
        <v>9.4669396734586003E-3</v>
      </c>
      <c r="S81" s="76">
        <f>IF(Diskontering!S16&lt;=Diskontering!$A$5,($B$46/1000000*Diskontering!S38),0)</f>
        <v>9.3297376492055759E-3</v>
      </c>
      <c r="T81" s="76">
        <f>IF(Diskontering!T16&lt;=Diskontering!$A$5,($B$46/1000000*Diskontering!T38),0)</f>
        <v>9.1945240600866587E-3</v>
      </c>
      <c r="U81" s="76">
        <f>IF(Diskontering!U16&lt;=Diskontering!$A$5,($B$46/1000000*Diskontering!U38),0)</f>
        <v>9.0612700882013435E-3</v>
      </c>
      <c r="V81" s="76">
        <f>IF(Diskontering!V16&lt;=Diskontering!$A$5,($B$46/1000000*Diskontering!V38),0)</f>
        <v>8.9299473332998761E-3</v>
      </c>
      <c r="W81" s="76">
        <f>IF(Diskontering!W16&lt;=Diskontering!$A$5,($B$46/1000000*Diskontering!W38),0)</f>
        <v>8.8005278067303152E-3</v>
      </c>
      <c r="X81" s="76">
        <f>IF(Diskontering!X16&lt;=Diskontering!$A$5,($B$46/1000000*Diskontering!X38),0)</f>
        <v>8.6729839254733546E-3</v>
      </c>
      <c r="Y81" s="76">
        <f>IF(Diskontering!Y16&lt;=Diskontering!$A$5,($B$46/1000000*Diskontering!Y38),0)</f>
        <v>8.5472885062635954E-3</v>
      </c>
      <c r="Z81" s="76">
        <f>IF(Diskontering!Z16&lt;=Diskontering!$A$5,($B$46/1000000*Diskontering!Z38),0)</f>
        <v>8.423414759796008E-3</v>
      </c>
      <c r="AA81" s="76">
        <f>IF(Diskontering!AA16&lt;=Diskontering!$A$5,($B$46/1000000*Diskontering!AA38),0)</f>
        <v>8.3013362850163554E-3</v>
      </c>
      <c r="AB81" s="76">
        <f>IF(Diskontering!AB16&lt;=Diskontering!$A$5,($B$46/1000000*Diskontering!AB38),0)</f>
        <v>8.1810270634943803E-3</v>
      </c>
      <c r="AC81" s="76">
        <f>IF(Diskontering!AC16&lt;=Diskontering!$A$5,($B$46/1000000*Diskontering!AC38),0)</f>
        <v>8.0624614538785215E-3</v>
      </c>
      <c r="AD81" s="76">
        <f>IF(Diskontering!AD16&lt;=Diskontering!$A$5,($B$46/1000000*Diskontering!AD38),0)</f>
        <v>7.9456141864310079E-3</v>
      </c>
      <c r="AE81" s="76">
        <f>IF(Diskontering!AE16&lt;=Diskontering!$A$5,($B$46/1000000*Diskontering!AE38),0)</f>
        <v>7.8304603576421529E-3</v>
      </c>
      <c r="AF81" s="76">
        <f>IF(Diskontering!AF16&lt;=Diskontering!$A$5,($B$46/1000000*Diskontering!AF38),0)</f>
        <v>7.7169754249227021E-3</v>
      </c>
      <c r="AG81" s="76">
        <f>IF(Diskontering!AG16&lt;=Diskontering!$A$5,($B$46/1000000*Diskontering!AG38),0)</f>
        <v>7.6051352013730986E-3</v>
      </c>
      <c r="AH81" s="76">
        <f>IF(Diskontering!AH16&lt;=Diskontering!$A$5,($B$46/1000000*Diskontering!AH38),0)</f>
        <v>7.4949158506285628E-3</v>
      </c>
      <c r="AI81" s="76">
        <f>IF(Diskontering!AI16&lt;=Diskontering!$A$5,($B$46/1000000*Diskontering!AI38),0)</f>
        <v>7.3862938817788725E-3</v>
      </c>
      <c r="AJ81" s="76">
        <f>IF(Diskontering!AJ16&lt;=Diskontering!$A$5,($B$46/1000000*Diskontering!AJ38),0)</f>
        <v>7.2792461443617886E-3</v>
      </c>
      <c r="AK81" s="76">
        <f>IF(Diskontering!AK16&lt;=Diskontering!$A$5,($B$46/1000000*Diskontering!AK38),0)</f>
        <v>7.1737498234290082E-3</v>
      </c>
      <c r="AL81" s="76">
        <f>IF(Diskontering!AL16&lt;=Diskontering!$A$5,($B$46/1000000*Diskontering!AL38),0)</f>
        <v>7.0697824346836616E-3</v>
      </c>
      <c r="AM81" s="76">
        <f>IF(Diskontering!AM16&lt;=Diskontering!$A$5,($B$46/1000000*Diskontering!AM38),0)</f>
        <v>6.9673218196882481E-3</v>
      </c>
      <c r="AN81" s="76">
        <f>IF(Diskontering!AN16&lt;=Diskontering!$A$5,($B$46/1000000*Diskontering!AN38),0)</f>
        <v>6.8663461411420422E-3</v>
      </c>
      <c r="AO81" s="76">
        <f>IF(Diskontering!AO16&lt;=Diskontering!$A$5,($B$46/1000000*Diskontering!AO38),0)</f>
        <v>6.7668338782269407E-3</v>
      </c>
      <c r="AP81" s="76">
        <f>IF(Diskontering!AP16&lt;=Diskontering!$A$5,($B$46/1000000*Diskontering!AP38),0)</f>
        <v>6.6687638220207538E-3</v>
      </c>
      <c r="AQ81" s="76">
        <f>IF(Diskontering!AQ16&lt;=Diskontering!$A$5,($B$46/1000000*Diskontering!AQ38),0)</f>
        <v>6.5721150709769751E-3</v>
      </c>
      <c r="AR81" s="76">
        <f>IF(Diskontering!AR16&lt;=Diskontering!$A$5,($B$46/1000000*Diskontering!AR38),0)</f>
        <v>6.476867026470063E-3</v>
      </c>
      <c r="AS81" s="76">
        <f>IF(Diskontering!AS16&lt;=Diskontering!$A$5,($B$46/1000000*Diskontering!AS38),0)</f>
        <v>6.3829993884052805E-3</v>
      </c>
      <c r="AT81" s="76">
        <f>IF(Diskontering!AT16&lt;=Diskontering!$A$5,($B$46/1000000*Diskontering!AT38),0)</f>
        <v>6.2904921508921616E-3</v>
      </c>
    </row>
    <row r="82" spans="1:64" s="66" customFormat="1" ht="12.75" x14ac:dyDescent="0.2">
      <c r="A82" s="77" t="s">
        <v>352</v>
      </c>
      <c r="B82" s="78">
        <f>($B$46/1000000*'Kalkylvärden 1'!$G$180)*Diskontering!B41</f>
        <v>3.0906397307324646E-3</v>
      </c>
      <c r="C82" s="78">
        <f>($B$46/1000000*'Kalkylvärden 1'!$G$180)*Diskontering!C41</f>
        <v>3.0906397307324646E-3</v>
      </c>
      <c r="D82" s="78">
        <f>($B$46/1000000*'Kalkylvärden 1'!$G$180)*Diskontering!D41</f>
        <v>3.0458478505769214E-3</v>
      </c>
      <c r="E82" s="78">
        <f>($B$46/1000000*'Kalkylvärden 1'!$G$180)*Diskontering!E41</f>
        <v>3.0017051281047927E-3</v>
      </c>
      <c r="F82" s="78">
        <f>($B$46/1000000*'Kalkylvärden 1'!$G$180)*Diskontering!F41</f>
        <v>2.9582021552337088E-3</v>
      </c>
      <c r="G82" s="78">
        <f>($B$46/1000000*'Kalkylvärden 1'!$G$180)*Diskontering!G41</f>
        <v>2.9153296602303222E-3</v>
      </c>
      <c r="H82" s="78">
        <f>($B$46/1000000*'Kalkylvärden 1'!$G$180)*Diskontering!H41</f>
        <v>2.8730785057342312E-3</v>
      </c>
      <c r="I82" s="78">
        <f>($B$46/1000000*'Kalkylvärden 1'!$G$180)*Diskontering!I41</f>
        <v>2.8314396868105475E-3</v>
      </c>
      <c r="J82" s="78">
        <f>($B$46/1000000*'Kalkylvärden 1'!$G$180)*Diskontering!J41</f>
        <v>2.790404329030684E-3</v>
      </c>
      <c r="K82" s="78">
        <f>($B$46/1000000*'Kalkylvärden 1'!$G$180)*Diskontering!K41</f>
        <v>2.7499636865809646E-3</v>
      </c>
      <c r="L82" s="78">
        <f>($B$46/1000000*'Kalkylvärden 1'!$G$180)*Diskontering!L41</f>
        <v>2.710109140398632E-3</v>
      </c>
      <c r="M82" s="78">
        <f>($B$46/1000000*'Kalkylvärden 1'!$G$180)*Diskontering!M41</f>
        <v>2.6708321963348838E-3</v>
      </c>
      <c r="N82" s="78">
        <f>($B$46/1000000*'Kalkylvärden 1'!$G$180)*Diskontering!N41</f>
        <v>2.6321244833445233E-3</v>
      </c>
      <c r="O82" s="78">
        <f>($B$46/1000000*'Kalkylvärden 1'!$G$180)*Diskontering!O41</f>
        <v>2.5939777517018491E-3</v>
      </c>
      <c r="P82" s="78">
        <f>($B$46/1000000*'Kalkylvärden 1'!$G$180)*Diskontering!P41</f>
        <v>2.5563838712424026E-3</v>
      </c>
      <c r="Q82" s="78">
        <f>($B$46/1000000*'Kalkylvärden 1'!$G$180)*Diskontering!Q41</f>
        <v>2.5193348296301942E-3</v>
      </c>
      <c r="R82" s="78">
        <f>($B$46/1000000*'Kalkylvärden 1'!$G$180)*Diskontering!R41</f>
        <v>2.482822730650047E-3</v>
      </c>
      <c r="S82" s="78">
        <f>($B$46/1000000*'Kalkylvärden 1'!$G$180)*Diskontering!S41</f>
        <v>2.4468397925246836E-3</v>
      </c>
      <c r="T82" s="78">
        <f>($B$46/1000000*'Kalkylvärden 1'!$G$180)*Diskontering!T41</f>
        <v>2.4113783462562108E-3</v>
      </c>
      <c r="U82" s="78">
        <f>($B$46/1000000*'Kalkylvärden 1'!$G$180)*Diskontering!U41</f>
        <v>2.376430833991628E-3</v>
      </c>
      <c r="V82" s="78">
        <f>($B$46/1000000*'Kalkylvärden 1'!$G$180)*Diskontering!V41</f>
        <v>2.3419898074120396E-3</v>
      </c>
      <c r="W82" s="78">
        <f>($B$46/1000000*'Kalkylvärden 1'!$G$180)*Diskontering!W41</f>
        <v>2.3080479261451989E-3</v>
      </c>
      <c r="X82" s="78">
        <f>($B$46/1000000*'Kalkylvärden 1'!$G$180)*Diskontering!X41</f>
        <v>2.274597956201066E-3</v>
      </c>
      <c r="Y82" s="78">
        <f>($B$46/1000000*'Kalkylvärden 1'!$G$180)*Diskontering!Y41</f>
        <v>2.2416327684300365E-3</v>
      </c>
      <c r="Z82" s="78">
        <f>($B$46/1000000*'Kalkylvärden 1'!$G$180)*Diskontering!Z41</f>
        <v>2.2091453370035137E-3</v>
      </c>
      <c r="AA82" s="78">
        <f>($B$46/1000000*'Kalkylvärden 1'!$G$180)*Diskontering!AA41</f>
        <v>2.1771287379165065E-3</v>
      </c>
      <c r="AB82" s="78">
        <f>($B$46/1000000*'Kalkylvärden 1'!$G$180)*Diskontering!AB41</f>
        <v>2.1455761475119195E-3</v>
      </c>
      <c r="AC82" s="78">
        <f>($B$46/1000000*'Kalkylvärden 1'!$G$180)*Diskontering!AC41</f>
        <v>2.1144808410262397E-3</v>
      </c>
      <c r="AD82" s="78">
        <f>($B$46/1000000*'Kalkylvärden 1'!$G$180)*Diskontering!AD41</f>
        <v>2.0838361911562943E-3</v>
      </c>
      <c r="AE82" s="78">
        <f>($B$46/1000000*'Kalkylvärden 1'!$G$180)*Diskontering!AE41</f>
        <v>2.0536356666467832E-3</v>
      </c>
      <c r="AF82" s="78">
        <f>($B$46/1000000*'Kalkylvärden 1'!$G$180)*Diskontering!AF41</f>
        <v>2.0238728308982793E-3</v>
      </c>
      <c r="AG82" s="78">
        <f>($B$46/1000000*'Kalkylvärden 1'!$G$180)*Diskontering!AG41</f>
        <v>1.9945413405954059E-3</v>
      </c>
      <c r="AH82" s="78">
        <f>($B$46/1000000*'Kalkylvärden 1'!$G$180)*Diskontering!AH41</f>
        <v>1.9656349443548933E-3</v>
      </c>
      <c r="AI82" s="78">
        <f>($B$46/1000000*'Kalkylvärden 1'!$G$180)*Diskontering!AI41</f>
        <v>1.937147481393228E-3</v>
      </c>
      <c r="AJ82" s="78">
        <f>($B$46/1000000*'Kalkylvärden 1'!$G$180)*Diskontering!AJ41</f>
        <v>1.9090728802136163E-3</v>
      </c>
      <c r="AK82" s="78">
        <f>($B$46/1000000*'Kalkylvärden 1'!$G$180)*Diskontering!AK41</f>
        <v>1.8814051573119699E-3</v>
      </c>
      <c r="AL82" s="78">
        <f>($B$46/1000000*'Kalkylvärden 1'!$G$180)*Diskontering!AL41</f>
        <v>1.8541384159016516E-3</v>
      </c>
      <c r="AM82" s="78">
        <f>($B$46/1000000*'Kalkylvärden 1'!$G$180)*Diskontering!AM41</f>
        <v>1.8272668446567E-3</v>
      </c>
      <c r="AN82" s="78">
        <f>($B$46/1000000*'Kalkylvärden 1'!$G$180)*Diskontering!AN41</f>
        <v>1.8007847164732702E-3</v>
      </c>
      <c r="AO82" s="78">
        <f>($B$46/1000000*'Kalkylvärden 1'!$G$180)*Diskontering!AO41</f>
        <v>1.7746863872490199E-3</v>
      </c>
      <c r="AP82" s="78">
        <f>($B$46/1000000*'Kalkylvärden 1'!$G$180)*Diskontering!AP41</f>
        <v>1.7489662946801939E-3</v>
      </c>
      <c r="AQ82" s="78">
        <f>($B$46/1000000*'Kalkylvärden 1'!$G$180)*Diskontering!AQ41</f>
        <v>1.7236189570761329E-3</v>
      </c>
      <c r="AR82" s="78">
        <f>($B$46/1000000*'Kalkylvärden 1'!$G$180)*Diskontering!AR41</f>
        <v>1.6986389721909722E-3</v>
      </c>
      <c r="AS82" s="78">
        <f>($B$46/1000000*'Kalkylvärden 1'!$G$180)*Diskontering!AS41</f>
        <v>1.6740210160722624E-3</v>
      </c>
      <c r="AT82" s="78">
        <f>($B$46/1000000*'Kalkylvärden 1'!$G$180)*Diskontering!AT41</f>
        <v>1.6497598419262878E-3</v>
      </c>
      <c r="AU82" s="79"/>
      <c r="AV82" s="79"/>
      <c r="AW82" s="79"/>
      <c r="AX82" s="79"/>
      <c r="AY82" s="79"/>
      <c r="AZ82" s="79"/>
      <c r="BA82" s="80"/>
      <c r="BB82" s="80"/>
      <c r="BC82" s="80"/>
      <c r="BD82" s="80"/>
      <c r="BE82" s="80"/>
      <c r="BF82" s="80"/>
      <c r="BG82" s="80"/>
      <c r="BH82" s="80"/>
      <c r="BI82" s="80"/>
      <c r="BJ82" s="80"/>
      <c r="BK82" s="80"/>
      <c r="BL82" s="80"/>
    </row>
    <row r="83" spans="1:64" s="66" customFormat="1" ht="12.75" x14ac:dyDescent="0.2">
      <c r="A83" s="77" t="s">
        <v>353</v>
      </c>
      <c r="B83" s="78">
        <f>($B$46/1000000*'Kalkylvärden 1'!$G$180)*Diskontering!B38</f>
        <v>3.0906397307324646E-3</v>
      </c>
      <c r="C83" s="78">
        <f>($B$46/1000000*'Kalkylvärden 1'!$G$180)*Diskontering!C38</f>
        <v>3.0458478505769218E-3</v>
      </c>
      <c r="D83" s="78">
        <f>($B$46/1000000*'Kalkylvärden 1'!$G$180)*Diskontering!D38</f>
        <v>3.0017051281047923E-3</v>
      </c>
      <c r="E83" s="78">
        <f>($B$46/1000000*'Kalkylvärden 1'!$G$180)*Diskontering!E38</f>
        <v>2.9582021552337092E-3</v>
      </c>
      <c r="F83" s="78">
        <f>($B$46/1000000*'Kalkylvärden 1'!$G$180)*Diskontering!F38</f>
        <v>2.9153296602303222E-3</v>
      </c>
      <c r="G83" s="78">
        <f>($B$46/1000000*'Kalkylvärden 1'!$G$180)*Diskontering!G38</f>
        <v>2.8730785057342312E-3</v>
      </c>
      <c r="H83" s="78">
        <f>($B$46/1000000*'Kalkylvärden 1'!$G$180)*Diskontering!H38</f>
        <v>2.8314396868105471E-3</v>
      </c>
      <c r="I83" s="78">
        <f>($B$46/1000000*'Kalkylvärden 1'!$G$180)*Diskontering!I38</f>
        <v>2.790404329030684E-3</v>
      </c>
      <c r="J83" s="78">
        <f>($B$46/1000000*'Kalkylvärden 1'!$G$180)*Diskontering!J38</f>
        <v>2.7499636865809646E-3</v>
      </c>
      <c r="K83" s="78">
        <f>($B$46/1000000*'Kalkylvärden 1'!$G$180)*Diskontering!K38</f>
        <v>2.7101091403986316E-3</v>
      </c>
      <c r="L83" s="78">
        <f>($B$46/1000000*'Kalkylvärden 1'!$G$180)*Diskontering!L38</f>
        <v>2.6708321963348838E-3</v>
      </c>
      <c r="M83" s="78">
        <f>($B$46/1000000*'Kalkylvärden 1'!$G$180)*Diskontering!M38</f>
        <v>2.6321244833445237E-3</v>
      </c>
      <c r="N83" s="78">
        <f>($B$46/1000000*'Kalkylvärden 1'!$G$180)*Diskontering!N38</f>
        <v>2.5939777517018491E-3</v>
      </c>
      <c r="O83" s="78">
        <f>($B$46/1000000*'Kalkylvärden 1'!$G$180)*Diskontering!O38</f>
        <v>2.5563838712424026E-3</v>
      </c>
      <c r="P83" s="78">
        <f>($B$46/1000000*'Kalkylvärden 1'!$G$180)*Diskontering!P38</f>
        <v>2.5193348296301942E-3</v>
      </c>
      <c r="Q83" s="78">
        <f>($B$46/1000000*'Kalkylvärden 1'!$G$180)*Diskontering!Q38</f>
        <v>2.482822730650047E-3</v>
      </c>
      <c r="R83" s="78">
        <f>($B$46/1000000*'Kalkylvärden 1'!$G$180)*Diskontering!R38</f>
        <v>2.446839792524684E-3</v>
      </c>
      <c r="S83" s="78">
        <f>($B$46/1000000*'Kalkylvärden 1'!$G$180)*Diskontering!S38</f>
        <v>2.4113783462562104E-3</v>
      </c>
      <c r="T83" s="78">
        <f>($B$46/1000000*'Kalkylvärden 1'!$G$180)*Diskontering!T38</f>
        <v>2.3764308339916285E-3</v>
      </c>
      <c r="U83" s="78">
        <f>($B$46/1000000*'Kalkylvärden 1'!$G$180)*Diskontering!U38</f>
        <v>2.3419898074120396E-3</v>
      </c>
      <c r="V83" s="78">
        <f>($B$46/1000000*'Kalkylvärden 1'!$G$180)*Diskontering!V38</f>
        <v>2.3080479261451989E-3</v>
      </c>
      <c r="W83" s="78">
        <f>($B$46/1000000*'Kalkylvärden 1'!$G$180)*Diskontering!W38</f>
        <v>2.274597956201066E-3</v>
      </c>
      <c r="X83" s="78">
        <f>($B$46/1000000*'Kalkylvärden 1'!$G$180)*Diskontering!X38</f>
        <v>2.2416327684300365E-3</v>
      </c>
      <c r="Y83" s="78">
        <f>($B$46/1000000*'Kalkylvärden 1'!$G$180)*Diskontering!Y38</f>
        <v>2.2091453370035137E-3</v>
      </c>
      <c r="Z83" s="78">
        <f>($B$46/1000000*'Kalkylvärden 1'!$G$180)*Diskontering!Z38</f>
        <v>2.1771287379165065E-3</v>
      </c>
      <c r="AA83" s="78">
        <f>($B$46/1000000*'Kalkylvärden 1'!$G$180)*Diskontering!AA38</f>
        <v>2.1455761475119195E-3</v>
      </c>
      <c r="AB83" s="78">
        <f>($B$46/1000000*'Kalkylvärden 1'!$G$180)*Diskontering!AB38</f>
        <v>2.1144808410262397E-3</v>
      </c>
      <c r="AC83" s="78">
        <f>($B$46/1000000*'Kalkylvärden 1'!$G$180)*Diskontering!AC38</f>
        <v>2.0838361911562947E-3</v>
      </c>
      <c r="AD83" s="78">
        <f>($B$46/1000000*'Kalkylvärden 1'!$G$180)*Diskontering!AD38</f>
        <v>2.0536356666467832E-3</v>
      </c>
      <c r="AE83" s="78">
        <f>($B$46/1000000*'Kalkylvärden 1'!$G$180)*Diskontering!AE38</f>
        <v>2.0238728308982793E-3</v>
      </c>
      <c r="AF83" s="78">
        <f>($B$46/1000000*'Kalkylvärden 1'!$G$180)*Diskontering!AF38</f>
        <v>1.9945413405954059E-3</v>
      </c>
      <c r="AG83" s="78">
        <f>($B$46/1000000*'Kalkylvärden 1'!$G$180)*Diskontering!AG38</f>
        <v>1.9656349443548933E-3</v>
      </c>
      <c r="AH83" s="78">
        <f>($B$46/1000000*'Kalkylvärden 1'!$G$180)*Diskontering!AH38</f>
        <v>1.9371474813932284E-3</v>
      </c>
      <c r="AI83" s="78">
        <f>($B$46/1000000*'Kalkylvärden 1'!$G$180)*Diskontering!AI38</f>
        <v>1.9090728802136163E-3</v>
      </c>
      <c r="AJ83" s="78">
        <f>($B$46/1000000*'Kalkylvärden 1'!$G$180)*Diskontering!AJ38</f>
        <v>1.8814051573119699E-3</v>
      </c>
      <c r="AK83" s="78">
        <f>($B$46/1000000*'Kalkylvärden 1'!$G$180)*Diskontering!AK38</f>
        <v>1.8541384159016514E-3</v>
      </c>
      <c r="AL83" s="78">
        <f>($B$46/1000000*'Kalkylvärden 1'!$G$180)*Diskontering!AL38</f>
        <v>1.8272668446567E-3</v>
      </c>
      <c r="AM83" s="78">
        <f>($B$46/1000000*'Kalkylvärden 1'!$G$180)*Diskontering!AM38</f>
        <v>1.8007847164732702E-3</v>
      </c>
      <c r="AN83" s="78">
        <f>($B$46/1000000*'Kalkylvärden 1'!$G$180)*Diskontering!AN38</f>
        <v>1.7746863872490199E-3</v>
      </c>
      <c r="AO83" s="78">
        <f>($B$46/1000000*'Kalkylvärden 1'!$G$180)*Diskontering!AO38</f>
        <v>1.7489662946801939E-3</v>
      </c>
      <c r="AP83" s="78">
        <f>($B$46/1000000*'Kalkylvärden 1'!$G$180)*Diskontering!AP38</f>
        <v>1.7236189570761333E-3</v>
      </c>
      <c r="AQ83" s="78">
        <f>($B$46/1000000*'Kalkylvärden 1'!$G$180)*Diskontering!AQ38</f>
        <v>1.698638972190972E-3</v>
      </c>
      <c r="AR83" s="78">
        <f>($B$46/1000000*'Kalkylvärden 1'!$G$180)*Diskontering!AR38</f>
        <v>1.6740210160722624E-3</v>
      </c>
      <c r="AS83" s="78">
        <f>($B$46/1000000*'Kalkylvärden 1'!$G$180)*Diskontering!AS38</f>
        <v>1.6497598419262878E-3</v>
      </c>
      <c r="AT83" s="78">
        <f>($B$46/1000000*'Kalkylvärden 1'!$G$180)*Diskontering!AT38</f>
        <v>1.6258502789998201E-3</v>
      </c>
      <c r="AU83" s="79"/>
      <c r="AV83" s="79"/>
      <c r="AW83" s="79"/>
      <c r="AX83" s="79"/>
      <c r="AY83" s="79"/>
      <c r="AZ83" s="79"/>
      <c r="BA83" s="80"/>
      <c r="BB83" s="80"/>
      <c r="BC83" s="80"/>
      <c r="BD83" s="80"/>
      <c r="BE83" s="80"/>
      <c r="BF83" s="80"/>
      <c r="BG83" s="80"/>
      <c r="BH83" s="80"/>
      <c r="BI83" s="80"/>
      <c r="BJ83" s="80"/>
      <c r="BK83" s="80"/>
      <c r="BL83" s="80"/>
    </row>
    <row r="84" spans="1:64" s="156" customFormat="1" x14ac:dyDescent="0.25">
      <c r="A84" s="158" t="s">
        <v>354</v>
      </c>
      <c r="B84" s="159">
        <f t="shared" ref="B84:AP84" si="26">B82-B83</f>
        <v>0</v>
      </c>
      <c r="C84" s="159">
        <f>C82-C83</f>
        <v>4.4791880155542821E-5</v>
      </c>
      <c r="D84" s="159">
        <f t="shared" si="26"/>
        <v>4.414272247212905E-5</v>
      </c>
      <c r="E84" s="159">
        <f t="shared" si="26"/>
        <v>4.3502972871083557E-5</v>
      </c>
      <c r="F84" s="159">
        <f t="shared" si="26"/>
        <v>4.2872495003386593E-5</v>
      </c>
      <c r="G84" s="159">
        <f t="shared" si="26"/>
        <v>4.2251154496090928E-5</v>
      </c>
      <c r="H84" s="159">
        <f t="shared" si="26"/>
        <v>4.1638818923684165E-5</v>
      </c>
      <c r="I84" s="159">
        <f t="shared" si="26"/>
        <v>4.1035357779863491E-5</v>
      </c>
      <c r="J84" s="159">
        <f t="shared" si="26"/>
        <v>4.0440642449719386E-5</v>
      </c>
      <c r="K84" s="159">
        <f t="shared" si="26"/>
        <v>3.9854546182333059E-5</v>
      </c>
      <c r="L84" s="159">
        <f t="shared" si="26"/>
        <v>3.9276944063748164E-5</v>
      </c>
      <c r="M84" s="159">
        <f t="shared" si="26"/>
        <v>3.8707712990360132E-5</v>
      </c>
      <c r="N84" s="159">
        <f t="shared" si="26"/>
        <v>3.814673164267415E-5</v>
      </c>
      <c r="O84" s="159">
        <f t="shared" si="26"/>
        <v>3.7593880459446498E-5</v>
      </c>
      <c r="P84" s="159">
        <f t="shared" si="26"/>
        <v>3.7049041612208407E-5</v>
      </c>
      <c r="Q84" s="159">
        <f t="shared" si="26"/>
        <v>3.6512098980147258E-5</v>
      </c>
      <c r="R84" s="159">
        <f t="shared" si="26"/>
        <v>3.5982938125362924E-5</v>
      </c>
      <c r="S84" s="159">
        <f t="shared" si="26"/>
        <v>3.5461446268473217E-5</v>
      </c>
      <c r="T84" s="159">
        <f t="shared" si="26"/>
        <v>3.4947512264582332E-5</v>
      </c>
      <c r="U84" s="159">
        <f t="shared" si="26"/>
        <v>3.4441026579588429E-5</v>
      </c>
      <c r="V84" s="159">
        <f t="shared" si="26"/>
        <v>3.3941881266840758E-5</v>
      </c>
      <c r="W84" s="159">
        <f t="shared" si="26"/>
        <v>3.3449969944132889E-5</v>
      </c>
      <c r="X84" s="159">
        <f t="shared" si="26"/>
        <v>3.2965187771029445E-5</v>
      </c>
      <c r="Y84" s="159">
        <f t="shared" si="26"/>
        <v>3.2487431426522859E-5</v>
      </c>
      <c r="Z84" s="159">
        <f t="shared" si="26"/>
        <v>3.2016599087007162E-5</v>
      </c>
      <c r="AA84" s="159">
        <f t="shared" si="26"/>
        <v>3.1552590404586994E-5</v>
      </c>
      <c r="AB84" s="159">
        <f t="shared" si="26"/>
        <v>3.1095306485679798E-5</v>
      </c>
      <c r="AC84" s="159">
        <f t="shared" si="26"/>
        <v>3.0644649869944994E-5</v>
      </c>
      <c r="AD84" s="159">
        <f t="shared" si="26"/>
        <v>3.0200524509511103E-5</v>
      </c>
      <c r="AE84" s="159">
        <f t="shared" si="26"/>
        <v>2.976283574850384E-5</v>
      </c>
      <c r="AF84" s="159">
        <f t="shared" si="26"/>
        <v>2.933149030287345E-5</v>
      </c>
      <c r="AG84" s="159">
        <f t="shared" si="26"/>
        <v>2.8906396240512607E-5</v>
      </c>
      <c r="AH84" s="159">
        <f t="shared" si="26"/>
        <v>2.8487462961664881E-5</v>
      </c>
      <c r="AI84" s="159">
        <f t="shared" si="26"/>
        <v>2.8074601179611629E-5</v>
      </c>
      <c r="AJ84" s="159">
        <f t="shared" si="26"/>
        <v>2.7667722901646413E-5</v>
      </c>
      <c r="AK84" s="159">
        <f t="shared" si="26"/>
        <v>2.7266741410318521E-5</v>
      </c>
      <c r="AL84" s="159">
        <f t="shared" si="26"/>
        <v>2.6871571244951658E-5</v>
      </c>
      <c r="AM84" s="159">
        <f t="shared" si="26"/>
        <v>2.6482128183429781E-5</v>
      </c>
      <c r="AN84" s="159">
        <f t="shared" si="26"/>
        <v>2.6098329224250299E-5</v>
      </c>
      <c r="AO84" s="159">
        <f t="shared" si="26"/>
        <v>2.5720092568825995E-5</v>
      </c>
      <c r="AP84" s="159">
        <f t="shared" si="26"/>
        <v>2.5347337604060593E-5</v>
      </c>
      <c r="AQ84" s="159">
        <f>AQ82-AQ83</f>
        <v>2.49799848851609E-5</v>
      </c>
      <c r="AR84" s="159">
        <f>AR82-AR83</f>
        <v>2.4617956118709811E-5</v>
      </c>
      <c r="AS84" s="159">
        <f>AS82-AS83</f>
        <v>2.4261174145974581E-5</v>
      </c>
      <c r="AT84" s="159">
        <f>AT82-AT83</f>
        <v>2.3909562926467719E-5</v>
      </c>
      <c r="AU84" s="160"/>
      <c r="AV84" s="160"/>
      <c r="AW84" s="160"/>
      <c r="AX84" s="160"/>
      <c r="AY84" s="160"/>
      <c r="AZ84" s="160"/>
      <c r="BA84" s="161"/>
      <c r="BB84" s="161"/>
      <c r="BC84" s="161"/>
      <c r="BD84" s="161"/>
      <c r="BE84" s="161"/>
      <c r="BF84" s="161"/>
      <c r="BG84" s="161"/>
      <c r="BH84" s="161"/>
      <c r="BI84" s="161"/>
      <c r="BJ84" s="161"/>
      <c r="BK84" s="161"/>
      <c r="BL84" s="161"/>
    </row>
    <row r="85" spans="1:64" x14ac:dyDescent="0.25">
      <c r="A85" s="20" t="s">
        <v>355</v>
      </c>
      <c r="B85" s="76">
        <f>IF(Diskontering!B16&lt;=Diskontering!$A$5,($B$51/1000000*Diskontering!B38),0)</f>
        <v>-1.235279910113847E-2</v>
      </c>
      <c r="C85" s="76">
        <f>IF(Diskontering!C16&lt;=Diskontering!$A$5,($B$51/1000000*Diskontering!C38),0)</f>
        <v>-1.2173773027208928E-2</v>
      </c>
      <c r="D85" s="76">
        <f>IF(Diskontering!D16&lt;=Diskontering!$A$5,($B$51/1000000*Diskontering!D38),0)</f>
        <v>-1.1997341534060972E-2</v>
      </c>
      <c r="E85" s="76">
        <f>IF(Diskontering!E16&lt;=Diskontering!$A$5,($B$51/1000000*Diskontering!E38),0)</f>
        <v>-1.1823467019074583E-2</v>
      </c>
      <c r="F85" s="76">
        <f>IF(Diskontering!F16&lt;=Diskontering!$A$5,($B$51/1000000*Diskontering!F38),0)</f>
        <v>-1.1652112424595242E-2</v>
      </c>
      <c r="G85" s="76">
        <f>IF(Diskontering!G16&lt;=Diskontering!$A$5,($B$51/1000000*Diskontering!G38),0)</f>
        <v>-1.1483241230035893E-2</v>
      </c>
      <c r="H85" s="76">
        <f>IF(Diskontering!H16&lt;=Diskontering!$A$5,($B$51/1000000*Diskontering!H38),0)</f>
        <v>-1.1316817444093345E-2</v>
      </c>
      <c r="I85" s="76">
        <f>IF(Diskontering!I16&lt;=Diskontering!$A$5,($B$51/1000000*Diskontering!I38),0)</f>
        <v>-1.11528055970775E-2</v>
      </c>
      <c r="J85" s="76">
        <f>IF(Diskontering!J16&lt;=Diskontering!$A$5,($B$51/1000000*Diskontering!J38),0)</f>
        <v>-1.0991170733351742E-2</v>
      </c>
      <c r="K85" s="76">
        <f>IF(Diskontering!K16&lt;=Diskontering!$A$5,($B$51/1000000*Diskontering!K38),0)</f>
        <v>-1.0831878403882876E-2</v>
      </c>
      <c r="L85" s="76">
        <f>IF(Diskontering!L16&lt;=Diskontering!$A$5,($B$51/1000000*Diskontering!L38),0)</f>
        <v>-1.0674894658899068E-2</v>
      </c>
      <c r="M85" s="76">
        <f>IF(Diskontering!M16&lt;=Diskontering!$A$5,($B$51/1000000*Diskontering!M38),0)</f>
        <v>-1.0520186040654156E-2</v>
      </c>
      <c r="N85" s="76">
        <f>IF(Diskontering!N16&lt;=Diskontering!$A$5,($B$51/1000000*Diskontering!N38),0)</f>
        <v>-1.0367719576296848E-2</v>
      </c>
      <c r="O85" s="76">
        <f>IF(Diskontering!O16&lt;=Diskontering!$A$5,($B$51/1000000*Diskontering!O38),0)</f>
        <v>-1.0217462770843271E-2</v>
      </c>
      <c r="P85" s="76">
        <f>IF(Diskontering!P16&lt;=Diskontering!$A$5,($B$51/1000000*Diskontering!P38),0)</f>
        <v>-1.0069383600251343E-2</v>
      </c>
      <c r="Q85" s="76">
        <f>IF(Diskontering!Q16&lt;=Diskontering!$A$5,($B$51/1000000*Diskontering!Q38),0)</f>
        <v>-9.9234505045955289E-3</v>
      </c>
      <c r="R85" s="76">
        <f>IF(Diskontering!R16&lt;=Diskontering!$A$5,($B$51/1000000*Diskontering!R38),0)</f>
        <v>-9.7796323813405216E-3</v>
      </c>
      <c r="S85" s="76">
        <f>IF(Diskontering!S16&lt;=Diskontering!$A$5,($B$51/1000000*Diskontering!S38),0)</f>
        <v>-9.6378985787123964E-3</v>
      </c>
      <c r="T85" s="76">
        <f>IF(Diskontering!T16&lt;=Diskontering!$A$5,($B$51/1000000*Diskontering!T38),0)</f>
        <v>-9.4982188891658444E-3</v>
      </c>
      <c r="U85" s="76">
        <f>IF(Diskontering!U16&lt;=Diskontering!$A$5,($B$51/1000000*Diskontering!U38),0)</f>
        <v>-9.3605635429460481E-3</v>
      </c>
      <c r="V85" s="76">
        <f>IF(Diskontering!V16&lt;=Diskontering!$A$5,($B$51/1000000*Diskontering!V38),0)</f>
        <v>-9.2249032017439336E-3</v>
      </c>
      <c r="W85" s="76">
        <f>IF(Diskontering!W16&lt;=Diskontering!$A$5,($B$51/1000000*Diskontering!W38),0)</f>
        <v>-9.0912089524432978E-3</v>
      </c>
      <c r="X85" s="76">
        <f>IF(Diskontering!X16&lt;=Diskontering!$A$5,($B$51/1000000*Diskontering!X38),0)</f>
        <v>-8.9594523009586154E-3</v>
      </c>
      <c r="Y85" s="76">
        <f>IF(Diskontering!Y16&lt;=Diskontering!$A$5,($B$51/1000000*Diskontering!Y38),0)</f>
        <v>-8.8296051661621126E-3</v>
      </c>
      <c r="Z85" s="76">
        <f>IF(Diskontering!Z16&lt;=Diskontering!$A$5,($B$51/1000000*Diskontering!Z38),0)</f>
        <v>-8.7016398738988948E-3</v>
      </c>
      <c r="AA85" s="76">
        <f>IF(Diskontering!AA16&lt;=Diskontering!$A$5,($B$51/1000000*Diskontering!AA38),0)</f>
        <v>-8.5755291510887649E-3</v>
      </c>
      <c r="AB85" s="76">
        <f>IF(Diskontering!AB16&lt;=Diskontering!$A$5,($B$51/1000000*Diskontering!AB38),0)</f>
        <v>-8.451246119913566E-3</v>
      </c>
      <c r="AC85" s="76">
        <f>IF(Diskontering!AC16&lt;=Diskontering!$A$5,($B$51/1000000*Diskontering!AC38),0)</f>
        <v>-8.3287642920887341E-3</v>
      </c>
      <c r="AD85" s="76">
        <f>IF(Diskontering!AD16&lt;=Diskontering!$A$5,($B$51/1000000*Diskontering!AD38),0)</f>
        <v>-8.2080575632178833E-3</v>
      </c>
      <c r="AE85" s="76">
        <f>IF(Diskontering!AE16&lt;=Diskontering!$A$5,($B$51/1000000*Diskontering!AE38),0)</f>
        <v>-8.08910020722922E-3</v>
      </c>
      <c r="AF85" s="76">
        <f>IF(Diskontering!AF16&lt;=Diskontering!$A$5,($B$51/1000000*Diskontering!AF38),0)</f>
        <v>-7.971866870892564E-3</v>
      </c>
      <c r="AG85" s="76">
        <f>IF(Diskontering!AG16&lt;=Diskontering!$A$5,($B$51/1000000*Diskontering!AG38),0)</f>
        <v>-7.8563325684158618E-3</v>
      </c>
      <c r="AH85" s="76">
        <f>IF(Diskontering!AH16&lt;=Diskontering!$A$5,($B$51/1000000*Diskontering!AH38),0)</f>
        <v>-7.7424726761199806E-3</v>
      </c>
      <c r="AI85" s="76">
        <f>IF(Diskontering!AI16&lt;=Diskontering!$A$5,($B$51/1000000*Diskontering!AI38),0)</f>
        <v>-7.6302629271907058E-3</v>
      </c>
      <c r="AJ85" s="76">
        <f>IF(Diskontering!AJ16&lt;=Diskontering!$A$5,($B$51/1000000*Diskontering!AJ38),0)</f>
        <v>-7.5196794065067836E-3</v>
      </c>
      <c r="AK85" s="76">
        <f>IF(Diskontering!AK16&lt;=Diskontering!$A$5,($B$51/1000000*Diskontering!AK38),0)</f>
        <v>-7.4106985455429158E-3</v>
      </c>
      <c r="AL85" s="76">
        <f>IF(Diskontering!AL16&lt;=Diskontering!$A$5,($B$51/1000000*Diskontering!AL38),0)</f>
        <v>-7.3032971173466431E-3</v>
      </c>
      <c r="AM85" s="76">
        <f>IF(Diskontering!AM16&lt;=Diskontering!$A$5,($B$51/1000000*Diskontering!AM38),0)</f>
        <v>-7.1974522315879979E-3</v>
      </c>
      <c r="AN85" s="76">
        <f>IF(Diskontering!AN16&lt;=Diskontering!$A$5,($B$51/1000000*Diskontering!AN38),0)</f>
        <v>-7.0931413296809256E-3</v>
      </c>
      <c r="AO85" s="76">
        <f>IF(Diskontering!AO16&lt;=Diskontering!$A$5,($B$51/1000000*Diskontering!AO38),0)</f>
        <v>-6.9903421799754062E-3</v>
      </c>
      <c r="AP85" s="76">
        <f>IF(Diskontering!AP16&lt;=Diskontering!$A$5,($B$51/1000000*Diskontering!AP38),0)</f>
        <v>-6.8890328730192418E-3</v>
      </c>
      <c r="AQ85" s="76">
        <f>IF(Diskontering!AQ16&lt;=Diskontering!$A$5,($B$51/1000000*Diskontering!AQ38),0)</f>
        <v>-6.7891918168885282E-3</v>
      </c>
      <c r="AR85" s="76">
        <f>IF(Diskontering!AR16&lt;=Diskontering!$A$5,($B$51/1000000*Diskontering!AR38),0)</f>
        <v>-6.6907977325857968E-3</v>
      </c>
      <c r="AS85" s="76">
        <f>IF(Diskontering!AS16&lt;=Diskontering!$A$5,($B$51/1000000*Diskontering!AS38),0)</f>
        <v>-6.5938296495048447E-3</v>
      </c>
      <c r="AT85" s="76">
        <f>IF(Diskontering!AT16&lt;=Diskontering!$A$5,($B$51/1000000*Diskontering!AT38),0)</f>
        <v>-6.4982669009612968E-3</v>
      </c>
    </row>
    <row r="86" spans="1:64" x14ac:dyDescent="0.25">
      <c r="A86" s="20" t="s">
        <v>356</v>
      </c>
      <c r="B86" s="76">
        <f>IF(Diskontering!B16&lt;=Diskontering!$A$5,($B$52/1000000*Diskontering!B38),0)</f>
        <v>0</v>
      </c>
      <c r="C86" s="76">
        <f>IF(Diskontering!C16&lt;=Diskontering!$A$5,($B$52/1000000*Diskontering!C38),0)</f>
        <v>0</v>
      </c>
      <c r="D86" s="76">
        <f>IF(Diskontering!D16&lt;=Diskontering!$A$5,($B$52/1000000*Diskontering!D38),0)</f>
        <v>0</v>
      </c>
      <c r="E86" s="76">
        <f>IF(Diskontering!E16&lt;=Diskontering!$A$5,($B$52/1000000*Diskontering!E38),0)</f>
        <v>0</v>
      </c>
      <c r="F86" s="76">
        <f>IF(Diskontering!F16&lt;=Diskontering!$A$5,($B$52/1000000*Diskontering!F38),0)</f>
        <v>0</v>
      </c>
      <c r="G86" s="76">
        <f>IF(Diskontering!G16&lt;=Diskontering!$A$5,($B$52/1000000*Diskontering!G38),0)</f>
        <v>0</v>
      </c>
      <c r="H86" s="76">
        <f>IF(Diskontering!H16&lt;=Diskontering!$A$5,($B$52/1000000*Diskontering!H38),0)</f>
        <v>0</v>
      </c>
      <c r="I86" s="76">
        <f>IF(Diskontering!I16&lt;=Diskontering!$A$5,($B$52/1000000*Diskontering!I38),0)</f>
        <v>0</v>
      </c>
      <c r="J86" s="76">
        <f>IF(Diskontering!J16&lt;=Diskontering!$A$5,($B$52/1000000*Diskontering!J38),0)</f>
        <v>0</v>
      </c>
      <c r="K86" s="76">
        <f>IF(Diskontering!K16&lt;=Diskontering!$A$5,($B$52/1000000*Diskontering!K38),0)</f>
        <v>0</v>
      </c>
      <c r="L86" s="76">
        <f>IF(Diskontering!L16&lt;=Diskontering!$A$5,($B$52/1000000*Diskontering!L38),0)</f>
        <v>0</v>
      </c>
      <c r="M86" s="76">
        <f>IF(Diskontering!M16&lt;=Diskontering!$A$5,($B$52/1000000*Diskontering!M38),0)</f>
        <v>0</v>
      </c>
      <c r="N86" s="76">
        <f>IF(Diskontering!N16&lt;=Diskontering!$A$5,($B$52/1000000*Diskontering!N38),0)</f>
        <v>0</v>
      </c>
      <c r="O86" s="76">
        <f>IF(Diskontering!O16&lt;=Diskontering!$A$5,($B$52/1000000*Diskontering!O38),0)</f>
        <v>0</v>
      </c>
      <c r="P86" s="76">
        <f>IF(Diskontering!P16&lt;=Diskontering!$A$5,($B$52/1000000*Diskontering!P38),0)</f>
        <v>0</v>
      </c>
      <c r="Q86" s="76">
        <f>IF(Diskontering!Q16&lt;=Diskontering!$A$5,($B$52/1000000*Diskontering!Q38),0)</f>
        <v>0</v>
      </c>
      <c r="R86" s="76">
        <f>IF(Diskontering!R16&lt;=Diskontering!$A$5,($B$52/1000000*Diskontering!R38),0)</f>
        <v>0</v>
      </c>
      <c r="S86" s="76">
        <f>IF(Diskontering!S16&lt;=Diskontering!$A$5,($B$52/1000000*Diskontering!S38),0)</f>
        <v>0</v>
      </c>
      <c r="T86" s="76">
        <f>IF(Diskontering!T16&lt;=Diskontering!$A$5,($B$52/1000000*Diskontering!T38),0)</f>
        <v>0</v>
      </c>
      <c r="U86" s="76">
        <f>IF(Diskontering!U16&lt;=Diskontering!$A$5,($B$52/1000000*Diskontering!U38),0)</f>
        <v>0</v>
      </c>
      <c r="V86" s="76">
        <f>IF(Diskontering!V16&lt;=Diskontering!$A$5,($B$52/1000000*Diskontering!V38),0)</f>
        <v>0</v>
      </c>
      <c r="W86" s="76">
        <f>IF(Diskontering!W16&lt;=Diskontering!$A$5,($B$52/1000000*Diskontering!W38),0)</f>
        <v>0</v>
      </c>
      <c r="X86" s="76">
        <f>IF(Diskontering!X16&lt;=Diskontering!$A$5,($B$52/1000000*Diskontering!X38),0)</f>
        <v>0</v>
      </c>
      <c r="Y86" s="76">
        <f>IF(Diskontering!Y16&lt;=Diskontering!$A$5,($B$52/1000000*Diskontering!Y38),0)</f>
        <v>0</v>
      </c>
      <c r="Z86" s="76">
        <f>IF(Diskontering!Z16&lt;=Diskontering!$A$5,($B$52/1000000*Diskontering!Z38),0)</f>
        <v>0</v>
      </c>
      <c r="AA86" s="76">
        <f>IF(Diskontering!AA16&lt;=Diskontering!$A$5,($B$52/1000000*Diskontering!AA38),0)</f>
        <v>0</v>
      </c>
      <c r="AB86" s="76">
        <f>IF(Diskontering!AB16&lt;=Diskontering!$A$5,($B$52/1000000*Diskontering!AB38),0)</f>
        <v>0</v>
      </c>
      <c r="AC86" s="76">
        <f>IF(Diskontering!AC16&lt;=Diskontering!$A$5,($B$52/1000000*Diskontering!AC38),0)</f>
        <v>0</v>
      </c>
      <c r="AD86" s="76">
        <f>IF(Diskontering!AD16&lt;=Diskontering!$A$5,($B$52/1000000*Diskontering!AD38),0)</f>
        <v>0</v>
      </c>
      <c r="AE86" s="76">
        <f>IF(Diskontering!AE16&lt;=Diskontering!$A$5,($B$52/1000000*Diskontering!AE38),0)</f>
        <v>0</v>
      </c>
      <c r="AF86" s="76">
        <f>IF(Diskontering!AF16&lt;=Diskontering!$A$5,($B$52/1000000*Diskontering!AF38),0)</f>
        <v>0</v>
      </c>
      <c r="AG86" s="76">
        <f>IF(Diskontering!AG16&lt;=Diskontering!$A$5,($B$52/1000000*Diskontering!AG38),0)</f>
        <v>0</v>
      </c>
      <c r="AH86" s="76">
        <f>IF(Diskontering!AH16&lt;=Diskontering!$A$5,($B$52/1000000*Diskontering!AH38),0)</f>
        <v>0</v>
      </c>
      <c r="AI86" s="76">
        <f>IF(Diskontering!AI16&lt;=Diskontering!$A$5,($B$52/1000000*Diskontering!AI38),0)</f>
        <v>0</v>
      </c>
      <c r="AJ86" s="76">
        <f>IF(Diskontering!AJ16&lt;=Diskontering!$A$5,($B$52/1000000*Diskontering!AJ38),0)</f>
        <v>0</v>
      </c>
      <c r="AK86" s="76">
        <f>IF(Diskontering!AK16&lt;=Diskontering!$A$5,($B$52/1000000*Diskontering!AK38),0)</f>
        <v>0</v>
      </c>
      <c r="AL86" s="76">
        <f>IF(Diskontering!AL16&lt;=Diskontering!$A$5,($B$52/1000000*Diskontering!AL38),0)</f>
        <v>0</v>
      </c>
      <c r="AM86" s="76">
        <f>IF(Diskontering!AM16&lt;=Diskontering!$A$5,($B$52/1000000*Diskontering!AM38),0)</f>
        <v>0</v>
      </c>
      <c r="AN86" s="76">
        <f>IF(Diskontering!AN16&lt;=Diskontering!$A$5,($B$52/1000000*Diskontering!AN38),0)</f>
        <v>0</v>
      </c>
      <c r="AO86" s="76">
        <f>IF(Diskontering!AO16&lt;=Diskontering!$A$5,($B$52/1000000*Diskontering!AO38),0)</f>
        <v>0</v>
      </c>
      <c r="AP86" s="76">
        <f>IF(Diskontering!AP16&lt;=Diskontering!$A$5,($B$52/1000000*Diskontering!AP38),0)</f>
        <v>0</v>
      </c>
      <c r="AQ86" s="76">
        <f>IF(Diskontering!AQ16&lt;=Diskontering!$A$5,($B$52/1000000*Diskontering!AQ38),0)</f>
        <v>0</v>
      </c>
      <c r="AR86" s="76">
        <f>IF(Diskontering!AR16&lt;=Diskontering!$A$5,($B$52/1000000*Diskontering!AR38),0)</f>
        <v>0</v>
      </c>
      <c r="AS86" s="76">
        <f>IF(Diskontering!AS16&lt;=Diskontering!$A$5,($B$52/1000000*Diskontering!AS38),0)</f>
        <v>0</v>
      </c>
      <c r="AT86" s="76">
        <f>IF(Diskontering!AT16&lt;=Diskontering!$A$5,($B$52/1000000*Diskontering!AT38),0)</f>
        <v>0</v>
      </c>
    </row>
    <row r="87" spans="1:64" s="66" customFormat="1" ht="12.75" x14ac:dyDescent="0.2">
      <c r="A87" s="77" t="s">
        <v>357</v>
      </c>
      <c r="B87" s="78">
        <f>($B$51/1000000*'Kalkylvärden 1'!$G$180)*Diskontering!B41</f>
        <v>-3.1927234599865586E-3</v>
      </c>
      <c r="C87" s="78">
        <f>($B$51/1000000*'Kalkylvärden 1'!$G$180)*Diskontering!C41</f>
        <v>-3.1927234599865586E-3</v>
      </c>
      <c r="D87" s="78">
        <f>($B$51/1000000*'Kalkylvärden 1'!$G$180)*Diskontering!D41</f>
        <v>-3.1464521054939995E-3</v>
      </c>
      <c r="E87" s="78">
        <f>($B$51/1000000*'Kalkylvärden 1'!$G$180)*Diskontering!E41</f>
        <v>-3.1008513503419134E-3</v>
      </c>
      <c r="F87" s="78">
        <f>($B$51/1000000*'Kalkylvärden 1'!$G$180)*Diskontering!F41</f>
        <v>-3.0559114756992765E-3</v>
      </c>
      <c r="G87" s="78">
        <f>($B$51/1000000*'Kalkylvärden 1'!$G$180)*Diskontering!G41</f>
        <v>-3.0116229035876936E-3</v>
      </c>
      <c r="H87" s="78">
        <f>($B$51/1000000*'Kalkylvärden 1'!$G$180)*Diskontering!H41</f>
        <v>-2.9679761948400462E-3</v>
      </c>
      <c r="I87" s="78">
        <f>($B$51/1000000*'Kalkylvärden 1'!$G$180)*Diskontering!I41</f>
        <v>-2.9249620470887419E-3</v>
      </c>
      <c r="J87" s="78">
        <f>($B$51/1000000*'Kalkylvärden 1'!$G$180)*Diskontering!J41</f>
        <v>-2.8825712927831077E-3</v>
      </c>
      <c r="K87" s="78">
        <f>($B$51/1000000*'Kalkylvärden 1'!$G$180)*Diskontering!K41</f>
        <v>-2.840794897235527E-3</v>
      </c>
      <c r="L87" s="78">
        <f>($B$51/1000000*'Kalkylvärden 1'!$G$180)*Diskontering!L41</f>
        <v>-2.799623956695882E-3</v>
      </c>
      <c r="M87" s="78">
        <f>($B$51/1000000*'Kalkylvärden 1'!$G$180)*Diskontering!M41</f>
        <v>-2.7590496964539132E-3</v>
      </c>
      <c r="N87" s="78">
        <f>($B$51/1000000*'Kalkylvärden 1'!$G$180)*Diskontering!N41</f>
        <v>-2.7190634689690739E-3</v>
      </c>
      <c r="O87" s="78">
        <f>($B$51/1000000*'Kalkylvärden 1'!$G$180)*Diskontering!O41</f>
        <v>-2.6796567520274931E-3</v>
      </c>
      <c r="P87" s="78">
        <f>($B$51/1000000*'Kalkylvärden 1'!$G$180)*Diskontering!P41</f>
        <v>-2.6408211469256459E-3</v>
      </c>
      <c r="Q87" s="78">
        <f>($B$51/1000000*'Kalkylvärden 1'!$G$180)*Diskontering!Q41</f>
        <v>-2.6025483766803472E-3</v>
      </c>
      <c r="R87" s="78">
        <f>($B$51/1000000*'Kalkylvärden 1'!$G$180)*Diskontering!R41</f>
        <v>-2.5648302842646905E-3</v>
      </c>
      <c r="S87" s="78">
        <f>($B$51/1000000*'Kalkylvärden 1'!$G$180)*Diskontering!S41</f>
        <v>-2.5276588308695493E-3</v>
      </c>
      <c r="T87" s="78">
        <f>($B$51/1000000*'Kalkylvärden 1'!$G$180)*Diskontering!T41</f>
        <v>-2.4910260941902814E-3</v>
      </c>
      <c r="U87" s="78">
        <f>($B$51/1000000*'Kalkylvärden 1'!$G$180)*Diskontering!U41</f>
        <v>-2.4549242667382485E-3</v>
      </c>
      <c r="V87" s="78">
        <f>($B$51/1000000*'Kalkylvärden 1'!$G$180)*Diskontering!V41</f>
        <v>-2.419345654176825E-3</v>
      </c>
      <c r="W87" s="78">
        <f>($B$51/1000000*'Kalkylvärden 1'!$G$180)*Diskontering!W41</f>
        <v>-2.3842826736815092E-3</v>
      </c>
      <c r="X87" s="78">
        <f>($B$51/1000000*'Kalkylvärden 1'!$G$180)*Diskontering!X41</f>
        <v>-2.3497278523238064E-3</v>
      </c>
      <c r="Y87" s="78">
        <f>($B$51/1000000*'Kalkylvärden 1'!$G$180)*Diskontering!Y41</f>
        <v>-2.3156738254785343E-3</v>
      </c>
      <c r="Z87" s="78">
        <f>($B$51/1000000*'Kalkylvärden 1'!$G$180)*Diskontering!Z41</f>
        <v>-2.2821133352542078E-3</v>
      </c>
      <c r="AA87" s="78">
        <f>($B$51/1000000*'Kalkylvärden 1'!$G$180)*Diskontering!AA41</f>
        <v>-2.2490392289461758E-3</v>
      </c>
      <c r="AB87" s="78">
        <f>($B$51/1000000*'Kalkylvärden 1'!$G$180)*Diskontering!AB41</f>
        <v>-2.2164444575121733E-3</v>
      </c>
      <c r="AC87" s="78">
        <f>($B$51/1000000*'Kalkylvärden 1'!$G$180)*Diskontering!AC41</f>
        <v>-2.1843220740699679E-3</v>
      </c>
      <c r="AD87" s="78">
        <f>($B$51/1000000*'Kalkylvärden 1'!$G$180)*Diskontering!AD41</f>
        <v>-2.1526652324167801E-3</v>
      </c>
      <c r="AE87" s="78">
        <f>($B$51/1000000*'Kalkylvärden 1'!$G$180)*Diskontering!AE41</f>
        <v>-2.1214671855701605E-3</v>
      </c>
      <c r="AF87" s="78">
        <f>($B$51/1000000*'Kalkylvärden 1'!$G$180)*Diskontering!AF41</f>
        <v>-2.0907212843300138E-3</v>
      </c>
      <c r="AG87" s="78">
        <f>($B$51/1000000*'Kalkylvärden 1'!$G$180)*Diskontering!AG41</f>
        <v>-2.0604209758614631E-3</v>
      </c>
      <c r="AH87" s="78">
        <f>($B$51/1000000*'Kalkylvärden 1'!$G$180)*Diskontering!AH41</f>
        <v>-2.0305598022982534E-3</v>
      </c>
      <c r="AI87" s="78">
        <f>($B$51/1000000*'Kalkylvärden 1'!$G$180)*Diskontering!AI41</f>
        <v>-2.0011313993663947E-3</v>
      </c>
      <c r="AJ87" s="78">
        <f>($B$51/1000000*'Kalkylvärden 1'!$G$180)*Diskontering!AJ41</f>
        <v>-1.9721294950277518E-3</v>
      </c>
      <c r="AK87" s="78">
        <f>($B$51/1000000*'Kalkylvärden 1'!$G$180)*Diskontering!AK41</f>
        <v>-1.9435479081432918E-3</v>
      </c>
      <c r="AL87" s="78">
        <f>($B$51/1000000*'Kalkylvärden 1'!$G$180)*Diskontering!AL41</f>
        <v>-1.9153805471557081E-3</v>
      </c>
      <c r="AM87" s="78">
        <f>($B$51/1000000*'Kalkylvärden 1'!$G$180)*Diskontering!AM41</f>
        <v>-1.8876214087911324E-3</v>
      </c>
      <c r="AN87" s="78">
        <f>($B$51/1000000*'Kalkylvärden 1'!$G$180)*Diskontering!AN41</f>
        <v>-1.8602645767796671E-3</v>
      </c>
      <c r="AO87" s="78">
        <f>($B$51/1000000*'Kalkylvärden 1'!$G$180)*Diskontering!AO41</f>
        <v>-1.8333042205944548E-3</v>
      </c>
      <c r="AP87" s="78">
        <f>($B$51/1000000*'Kalkylvärden 1'!$G$180)*Diskontering!AP41</f>
        <v>-1.8067345942090283E-3</v>
      </c>
      <c r="AQ87" s="78">
        <f>($B$51/1000000*'Kalkylvärden 1'!$G$180)*Diskontering!AQ41</f>
        <v>-1.7805500348726652E-3</v>
      </c>
      <c r="AR87" s="78">
        <f>($B$51/1000000*'Kalkylvärden 1'!$G$180)*Diskontering!AR41</f>
        <v>-1.7547449619034969E-3</v>
      </c>
      <c r="AS87" s="78">
        <f>($B$51/1000000*'Kalkylvärden 1'!$G$180)*Diskontering!AS41</f>
        <v>-1.7293138754990982E-3</v>
      </c>
      <c r="AT87" s="78">
        <f>($B$51/1000000*'Kalkylvärden 1'!$G$180)*Diskontering!AT41</f>
        <v>-1.704251355564329E-3</v>
      </c>
      <c r="AU87" s="79"/>
      <c r="AV87" s="79"/>
      <c r="AW87" s="79"/>
      <c r="AX87" s="79"/>
      <c r="AY87" s="79"/>
      <c r="AZ87" s="79"/>
      <c r="BA87" s="80"/>
      <c r="BB87" s="80"/>
      <c r="BC87" s="80"/>
      <c r="BD87" s="80"/>
      <c r="BE87" s="80"/>
      <c r="BF87" s="80"/>
      <c r="BG87" s="80"/>
      <c r="BH87" s="80"/>
      <c r="BI87" s="80"/>
      <c r="BJ87" s="80"/>
      <c r="BK87" s="80"/>
      <c r="BL87" s="80"/>
    </row>
    <row r="88" spans="1:64" s="66" customFormat="1" ht="12.75" x14ac:dyDescent="0.2">
      <c r="A88" s="77" t="s">
        <v>358</v>
      </c>
      <c r="B88" s="78">
        <f>($B$51/1000000*'Kalkylvärden 1'!$G$180)*Diskontering!B38</f>
        <v>-3.1927234599865586E-3</v>
      </c>
      <c r="C88" s="78">
        <f>($B$51/1000000*'Kalkylvärden 1'!$G$180)*Diskontering!C38</f>
        <v>-3.1464521054939999E-3</v>
      </c>
      <c r="D88" s="78">
        <f>($B$51/1000000*'Kalkylvärden 1'!$G$180)*Diskontering!D38</f>
        <v>-3.100851350341913E-3</v>
      </c>
      <c r="E88" s="78">
        <f>($B$51/1000000*'Kalkylvärden 1'!$G$180)*Diskontering!E38</f>
        <v>-3.055911475699277E-3</v>
      </c>
      <c r="F88" s="78">
        <f>($B$51/1000000*'Kalkylvärden 1'!$G$180)*Diskontering!F38</f>
        <v>-3.0116229035876936E-3</v>
      </c>
      <c r="G88" s="78">
        <f>($B$51/1000000*'Kalkylvärden 1'!$G$180)*Diskontering!G38</f>
        <v>-2.9679761948400462E-3</v>
      </c>
      <c r="H88" s="78">
        <f>($B$51/1000000*'Kalkylvärden 1'!$G$180)*Diskontering!H38</f>
        <v>-2.9249620470887419E-3</v>
      </c>
      <c r="I88" s="78">
        <f>($B$51/1000000*'Kalkylvärden 1'!$G$180)*Diskontering!I38</f>
        <v>-2.8825712927831081E-3</v>
      </c>
      <c r="J88" s="78">
        <f>($B$51/1000000*'Kalkylvärden 1'!$G$180)*Diskontering!J38</f>
        <v>-2.840794897235527E-3</v>
      </c>
      <c r="K88" s="78">
        <f>($B$51/1000000*'Kalkylvärden 1'!$G$180)*Diskontering!K38</f>
        <v>-2.799623956695882E-3</v>
      </c>
      <c r="L88" s="78">
        <f>($B$51/1000000*'Kalkylvärden 1'!$G$180)*Diskontering!L38</f>
        <v>-2.7590496964539132E-3</v>
      </c>
      <c r="M88" s="78">
        <f>($B$51/1000000*'Kalkylvärden 1'!$G$180)*Diskontering!M38</f>
        <v>-2.7190634689690744E-3</v>
      </c>
      <c r="N88" s="78">
        <f>($B$51/1000000*'Kalkylvärden 1'!$G$180)*Diskontering!N38</f>
        <v>-2.6796567520274931E-3</v>
      </c>
      <c r="O88" s="78">
        <f>($B$51/1000000*'Kalkylvärden 1'!$G$180)*Diskontering!O38</f>
        <v>-2.6408211469256459E-3</v>
      </c>
      <c r="P88" s="78">
        <f>($B$51/1000000*'Kalkylvärden 1'!$G$180)*Diskontering!P38</f>
        <v>-2.6025483766803472E-3</v>
      </c>
      <c r="Q88" s="78">
        <f>($B$51/1000000*'Kalkylvärden 1'!$G$180)*Diskontering!Q38</f>
        <v>-2.5648302842646905E-3</v>
      </c>
      <c r="R88" s="78">
        <f>($B$51/1000000*'Kalkylvärden 1'!$G$180)*Diskontering!R38</f>
        <v>-2.5276588308695501E-3</v>
      </c>
      <c r="S88" s="78">
        <f>($B$51/1000000*'Kalkylvärden 1'!$G$180)*Diskontering!S38</f>
        <v>-2.4910260941902809E-3</v>
      </c>
      <c r="T88" s="78">
        <f>($B$51/1000000*'Kalkylvärden 1'!$G$180)*Diskontering!T38</f>
        <v>-2.4549242667382489E-3</v>
      </c>
      <c r="U88" s="78">
        <f>($B$51/1000000*'Kalkylvärden 1'!$G$180)*Diskontering!U38</f>
        <v>-2.419345654176825E-3</v>
      </c>
      <c r="V88" s="78">
        <f>($B$51/1000000*'Kalkylvärden 1'!$G$180)*Diskontering!V38</f>
        <v>-2.3842826736815092E-3</v>
      </c>
      <c r="W88" s="78">
        <f>($B$51/1000000*'Kalkylvärden 1'!$G$180)*Diskontering!W38</f>
        <v>-2.3497278523238064E-3</v>
      </c>
      <c r="X88" s="78">
        <f>($B$51/1000000*'Kalkylvärden 1'!$G$180)*Diskontering!X38</f>
        <v>-2.3156738254785343E-3</v>
      </c>
      <c r="Y88" s="78">
        <f>($B$51/1000000*'Kalkylvärden 1'!$G$180)*Diskontering!Y38</f>
        <v>-2.2821133352542078E-3</v>
      </c>
      <c r="Z88" s="78">
        <f>($B$51/1000000*'Kalkylvärden 1'!$G$180)*Diskontering!Z38</f>
        <v>-2.2490392289461758E-3</v>
      </c>
      <c r="AA88" s="78">
        <f>($B$51/1000000*'Kalkylvärden 1'!$G$180)*Diskontering!AA38</f>
        <v>-2.2164444575121733E-3</v>
      </c>
      <c r="AB88" s="78">
        <f>($B$51/1000000*'Kalkylvärden 1'!$G$180)*Diskontering!AB38</f>
        <v>-2.1843220740699679E-3</v>
      </c>
      <c r="AC88" s="78">
        <f>($B$51/1000000*'Kalkylvärden 1'!$G$180)*Diskontering!AC38</f>
        <v>-2.1526652324167805E-3</v>
      </c>
      <c r="AD88" s="78">
        <f>($B$51/1000000*'Kalkylvärden 1'!$G$180)*Diskontering!AD38</f>
        <v>-2.1214671855701605E-3</v>
      </c>
      <c r="AE88" s="78">
        <f>($B$51/1000000*'Kalkylvärden 1'!$G$180)*Diskontering!AE38</f>
        <v>-2.0907212843300138E-3</v>
      </c>
      <c r="AF88" s="78">
        <f>($B$51/1000000*'Kalkylvärden 1'!$G$180)*Diskontering!AF38</f>
        <v>-2.0604209758614631E-3</v>
      </c>
      <c r="AG88" s="78">
        <f>($B$51/1000000*'Kalkylvärden 1'!$G$180)*Diskontering!AG38</f>
        <v>-2.0305598022982534E-3</v>
      </c>
      <c r="AH88" s="78">
        <f>($B$51/1000000*'Kalkylvärden 1'!$G$180)*Diskontering!AH38</f>
        <v>-2.0011313993663952E-3</v>
      </c>
      <c r="AI88" s="78">
        <f>($B$51/1000000*'Kalkylvärden 1'!$G$180)*Diskontering!AI38</f>
        <v>-1.9721294950277518E-3</v>
      </c>
      <c r="AJ88" s="78">
        <f>($B$51/1000000*'Kalkylvärden 1'!$G$180)*Diskontering!AJ38</f>
        <v>-1.9435479081432918E-3</v>
      </c>
      <c r="AK88" s="78">
        <f>($B$51/1000000*'Kalkylvärden 1'!$G$180)*Diskontering!AK38</f>
        <v>-1.9153805471557076E-3</v>
      </c>
      <c r="AL88" s="78">
        <f>($B$51/1000000*'Kalkylvärden 1'!$G$180)*Diskontering!AL38</f>
        <v>-1.8876214087911324E-3</v>
      </c>
      <c r="AM88" s="78">
        <f>($B$51/1000000*'Kalkylvärden 1'!$G$180)*Diskontering!AM38</f>
        <v>-1.8602645767796671E-3</v>
      </c>
      <c r="AN88" s="78">
        <f>($B$51/1000000*'Kalkylvärden 1'!$G$180)*Diskontering!AN38</f>
        <v>-1.8333042205944548E-3</v>
      </c>
      <c r="AO88" s="78">
        <f>($B$51/1000000*'Kalkylvärden 1'!$G$180)*Diskontering!AO38</f>
        <v>-1.8067345942090283E-3</v>
      </c>
      <c r="AP88" s="78">
        <f>($B$51/1000000*'Kalkylvärden 1'!$G$180)*Diskontering!AP38</f>
        <v>-1.7805500348726656E-3</v>
      </c>
      <c r="AQ88" s="78">
        <f>($B$51/1000000*'Kalkylvärden 1'!$G$180)*Diskontering!AQ38</f>
        <v>-1.7547449619034964E-3</v>
      </c>
      <c r="AR88" s="78">
        <f>($B$51/1000000*'Kalkylvärden 1'!$G$180)*Diskontering!AR38</f>
        <v>-1.7293138754990982E-3</v>
      </c>
      <c r="AS88" s="78">
        <f>($B$51/1000000*'Kalkylvärden 1'!$G$180)*Diskontering!AS38</f>
        <v>-1.704251355564329E-3</v>
      </c>
      <c r="AT88" s="78">
        <f>($B$51/1000000*'Kalkylvärden 1'!$G$180)*Diskontering!AT38</f>
        <v>-1.6795520605561505E-3</v>
      </c>
      <c r="AU88" s="79"/>
      <c r="AV88" s="79"/>
      <c r="AW88" s="79"/>
      <c r="AX88" s="79"/>
      <c r="AY88" s="79"/>
      <c r="AZ88" s="79"/>
      <c r="BA88" s="80"/>
      <c r="BB88" s="80"/>
      <c r="BC88" s="80"/>
      <c r="BD88" s="80"/>
      <c r="BE88" s="80"/>
      <c r="BF88" s="80"/>
      <c r="BG88" s="80"/>
      <c r="BH88" s="80"/>
      <c r="BI88" s="80"/>
      <c r="BJ88" s="80"/>
      <c r="BK88" s="80"/>
      <c r="BL88" s="80"/>
    </row>
    <row r="89" spans="1:64" x14ac:dyDescent="0.25">
      <c r="A89" s="36" t="s">
        <v>359</v>
      </c>
      <c r="B89" s="76">
        <f>B87-B88</f>
        <v>0</v>
      </c>
      <c r="C89" s="76">
        <f t="shared" ref="C89:AP89" si="27">C87-C88</f>
        <v>-4.6271354492558644E-5</v>
      </c>
      <c r="D89" s="76">
        <f t="shared" si="27"/>
        <v>-4.5600755152086503E-5</v>
      </c>
      <c r="E89" s="76">
        <f t="shared" si="27"/>
        <v>-4.4939874642636445E-5</v>
      </c>
      <c r="F89" s="76">
        <f t="shared" si="27"/>
        <v>-4.4288572111582901E-5</v>
      </c>
      <c r="G89" s="76">
        <f t="shared" si="27"/>
        <v>-4.3646708747647426E-5</v>
      </c>
      <c r="H89" s="76">
        <f t="shared" si="27"/>
        <v>-4.301414775130432E-5</v>
      </c>
      <c r="I89" s="76">
        <f t="shared" si="27"/>
        <v>-4.2390754305633802E-5</v>
      </c>
      <c r="J89" s="76">
        <f t="shared" si="27"/>
        <v>-4.177639554758068E-5</v>
      </c>
      <c r="K89" s="76">
        <f t="shared" si="27"/>
        <v>-4.117094053964496E-5</v>
      </c>
      <c r="L89" s="76">
        <f t="shared" si="27"/>
        <v>-4.0574260241968852E-5</v>
      </c>
      <c r="M89" s="76">
        <f t="shared" si="27"/>
        <v>-3.9986227484838793E-5</v>
      </c>
      <c r="N89" s="76">
        <f t="shared" si="27"/>
        <v>-3.9406716941580832E-5</v>
      </c>
      <c r="O89" s="76">
        <f t="shared" si="27"/>
        <v>-3.8835605101847186E-5</v>
      </c>
      <c r="P89" s="76">
        <f t="shared" si="27"/>
        <v>-3.8272770245298751E-5</v>
      </c>
      <c r="Q89" s="76">
        <f t="shared" si="27"/>
        <v>-3.7718092415656677E-5</v>
      </c>
      <c r="R89" s="76">
        <f t="shared" si="27"/>
        <v>-3.7171453395140348E-5</v>
      </c>
      <c r="S89" s="76">
        <f t="shared" si="27"/>
        <v>-3.6632736679268352E-5</v>
      </c>
      <c r="T89" s="76">
        <f t="shared" si="27"/>
        <v>-3.6101827452032428E-5</v>
      </c>
      <c r="U89" s="76">
        <f t="shared" si="27"/>
        <v>-3.5578612561423546E-5</v>
      </c>
      <c r="V89" s="76">
        <f t="shared" si="27"/>
        <v>-3.5062980495315782E-5</v>
      </c>
      <c r="W89" s="76">
        <f t="shared" si="27"/>
        <v>-3.455482135770278E-5</v>
      </c>
      <c r="X89" s="76">
        <f t="shared" si="27"/>
        <v>-3.4054026845272041E-5</v>
      </c>
      <c r="Y89" s="76">
        <f t="shared" si="27"/>
        <v>-3.3560490224326597E-5</v>
      </c>
      <c r="Z89" s="76">
        <f t="shared" si="27"/>
        <v>-3.3074106308031946E-5</v>
      </c>
      <c r="AA89" s="76">
        <f t="shared" si="27"/>
        <v>-3.2594771434002554E-5</v>
      </c>
      <c r="AB89" s="76">
        <f t="shared" si="27"/>
        <v>-3.2122383442205384E-5</v>
      </c>
      <c r="AC89" s="76">
        <f t="shared" si="27"/>
        <v>-3.1656841653187381E-5</v>
      </c>
      <c r="AD89" s="76">
        <f t="shared" si="27"/>
        <v>-3.1198046846619542E-5</v>
      </c>
      <c r="AE89" s="76">
        <f t="shared" si="27"/>
        <v>-3.0745901240146738E-5</v>
      </c>
      <c r="AF89" s="76">
        <f t="shared" si="27"/>
        <v>-3.0300308468550648E-5</v>
      </c>
      <c r="AG89" s="76">
        <f t="shared" si="27"/>
        <v>-2.9861173563209761E-5</v>
      </c>
      <c r="AH89" s="76">
        <f t="shared" si="27"/>
        <v>-2.9428402931858198E-5</v>
      </c>
      <c r="AI89" s="76">
        <f t="shared" si="27"/>
        <v>-2.9001904338642887E-5</v>
      </c>
      <c r="AJ89" s="76">
        <f t="shared" si="27"/>
        <v>-2.8581586884460046E-5</v>
      </c>
      <c r="AK89" s="76">
        <f t="shared" si="27"/>
        <v>-2.8167360987584175E-5</v>
      </c>
      <c r="AL89" s="76">
        <f t="shared" si="27"/>
        <v>-2.7759138364575687E-5</v>
      </c>
      <c r="AM89" s="76">
        <f t="shared" si="27"/>
        <v>-2.7356832011465231E-5</v>
      </c>
      <c r="AN89" s="76">
        <f t="shared" si="27"/>
        <v>-2.6960356185212319E-5</v>
      </c>
      <c r="AO89" s="76">
        <f t="shared" si="27"/>
        <v>-2.6569626385426542E-5</v>
      </c>
      <c r="AP89" s="76">
        <f t="shared" si="27"/>
        <v>-2.618455933636266E-5</v>
      </c>
      <c r="AQ89" s="76">
        <f>AQ87-AQ88</f>
        <v>-2.580507296916874E-5</v>
      </c>
      <c r="AR89" s="76">
        <f>AR87-AR88</f>
        <v>-2.5431086404398631E-5</v>
      </c>
      <c r="AS89" s="76">
        <f>AS87-AS88</f>
        <v>-2.5062519934769241E-5</v>
      </c>
      <c r="AT89" s="76">
        <f>AT87-AT88</f>
        <v>-2.4699295008178464E-5</v>
      </c>
    </row>
    <row r="90" spans="1:64" x14ac:dyDescent="0.25">
      <c r="A90" s="36" t="s">
        <v>66</v>
      </c>
      <c r="B90" s="76">
        <f>B81+B84+B85+B86+B89</f>
        <v>-3.9496680961405295E-4</v>
      </c>
      <c r="C90" s="76">
        <f t="shared" ref="C90:AP90" si="28">C81+C84+C85+C86+C89</f>
        <v>-3.9072212728999542E-4</v>
      </c>
      <c r="D90" s="76">
        <f t="shared" si="28"/>
        <v>-3.850594877640532E-4</v>
      </c>
      <c r="E90" s="76">
        <f t="shared" si="28"/>
        <v>-3.7947891547761943E-4</v>
      </c>
      <c r="F90" s="76">
        <f t="shared" si="28"/>
        <v>-3.7397922105040452E-4</v>
      </c>
      <c r="G90" s="76">
        <f t="shared" si="28"/>
        <v>-3.6855923233953094E-4</v>
      </c>
      <c r="H90" s="76">
        <f t="shared" si="28"/>
        <v>-3.6321779418968265E-4</v>
      </c>
      <c r="I90" s="76">
        <f t="shared" si="28"/>
        <v>-3.579537681869323E-4</v>
      </c>
      <c r="J90" s="76">
        <f t="shared" si="28"/>
        <v>-3.5276603241611018E-4</v>
      </c>
      <c r="K90" s="76">
        <f t="shared" si="28"/>
        <v>-3.4765348122167217E-4</v>
      </c>
      <c r="L90" s="76">
        <f t="shared" si="28"/>
        <v>-3.4261502497208137E-4</v>
      </c>
      <c r="M90" s="76">
        <f t="shared" si="28"/>
        <v>-3.3764958982756069E-4</v>
      </c>
      <c r="N90" s="76">
        <f t="shared" si="28"/>
        <v>-3.327561175112191E-4</v>
      </c>
      <c r="O90" s="76">
        <f t="shared" si="28"/>
        <v>-3.2793356508351978E-4</v>
      </c>
      <c r="P90" s="76">
        <f t="shared" si="28"/>
        <v>-3.2318090471999093E-4</v>
      </c>
      <c r="Q90" s="76">
        <f t="shared" si="28"/>
        <v>-3.1849712349216446E-4</v>
      </c>
      <c r="R90" s="76">
        <f t="shared" si="28"/>
        <v>-3.1388122315169917E-4</v>
      </c>
      <c r="S90" s="76">
        <f t="shared" si="28"/>
        <v>-3.0933221991761477E-4</v>
      </c>
      <c r="T90" s="76">
        <f t="shared" si="28"/>
        <v>-3.0484914426663623E-4</v>
      </c>
      <c r="U90" s="76">
        <f t="shared" si="28"/>
        <v>-3.004310407265392E-4</v>
      </c>
      <c r="V90" s="76">
        <f t="shared" si="28"/>
        <v>-2.9607696767253167E-4</v>
      </c>
      <c r="W90" s="76">
        <f t="shared" si="28"/>
        <v>-2.9178599712655203E-4</v>
      </c>
      <c r="X90" s="76">
        <f t="shared" si="28"/>
        <v>-2.8755721455950376E-4</v>
      </c>
      <c r="Y90" s="76">
        <f t="shared" si="28"/>
        <v>-2.8338971869632142E-4</v>
      </c>
      <c r="Z90" s="76">
        <f t="shared" si="28"/>
        <v>-2.7928262132391208E-4</v>
      </c>
      <c r="AA90" s="76">
        <f t="shared" si="28"/>
        <v>-2.7523504710182502E-4</v>
      </c>
      <c r="AB90" s="76">
        <f t="shared" si="28"/>
        <v>-2.7124613337571211E-4</v>
      </c>
      <c r="AC90" s="76">
        <f t="shared" si="28"/>
        <v>-2.6731502999345408E-4</v>
      </c>
      <c r="AD90" s="76">
        <f t="shared" si="28"/>
        <v>-2.6344089912398337E-4</v>
      </c>
      <c r="AE90" s="76">
        <f t="shared" si="28"/>
        <v>-2.5962291507870957E-4</v>
      </c>
      <c r="AF90" s="76">
        <f t="shared" si="28"/>
        <v>-2.5586026413553908E-4</v>
      </c>
      <c r="AG90" s="76">
        <f t="shared" si="28"/>
        <v>-2.5215214436546084E-4</v>
      </c>
      <c r="AH90" s="76">
        <f t="shared" si="28"/>
        <v>-2.4849776546161063E-4</v>
      </c>
      <c r="AI90" s="76">
        <f t="shared" si="28"/>
        <v>-2.4489634857086454E-4</v>
      </c>
      <c r="AJ90" s="76">
        <f t="shared" si="28"/>
        <v>-2.4134712612780898E-4</v>
      </c>
      <c r="AK90" s="76">
        <f t="shared" si="28"/>
        <v>-2.3784934169117345E-4</v>
      </c>
      <c r="AL90" s="76">
        <f t="shared" si="28"/>
        <v>-2.3440224978260528E-4</v>
      </c>
      <c r="AM90" s="76">
        <f t="shared" si="28"/>
        <v>-2.3100511572778548E-4</v>
      </c>
      <c r="AN90" s="76">
        <f t="shared" si="28"/>
        <v>-2.2765721549984587E-4</v>
      </c>
      <c r="AO90" s="76">
        <f t="shared" si="28"/>
        <v>-2.2435783556506625E-4</v>
      </c>
      <c r="AP90" s="76">
        <f t="shared" si="28"/>
        <v>-2.211062727307902E-4</v>
      </c>
      <c r="AQ90" s="76">
        <f>AQ81+AQ84+AQ85+AQ86+AQ89</f>
        <v>-2.1790183399556093E-4</v>
      </c>
      <c r="AR90" s="76">
        <f>AR81+AR84+AR85+AR86+AR89</f>
        <v>-2.1474383640142283E-4</v>
      </c>
      <c r="AS90" s="76">
        <f>AS81+AS84+AS85+AS86+AS89</f>
        <v>-2.1163160688835868E-4</v>
      </c>
      <c r="AT90" s="76">
        <f>AT81+AT84+AT85+AT86+AT89</f>
        <v>-2.0856448215084622E-4</v>
      </c>
    </row>
    <row r="91" spans="1:64" x14ac:dyDescent="0.25">
      <c r="B91" s="19" t="s">
        <v>269</v>
      </c>
      <c r="C91" s="19" t="s">
        <v>269</v>
      </c>
      <c r="D91" s="19" t="s">
        <v>269</v>
      </c>
      <c r="E91" s="19" t="s">
        <v>269</v>
      </c>
      <c r="F91" s="19" t="s">
        <v>269</v>
      </c>
      <c r="G91" s="19" t="s">
        <v>269</v>
      </c>
      <c r="H91" s="19" t="s">
        <v>269</v>
      </c>
      <c r="I91" s="19" t="s">
        <v>269</v>
      </c>
      <c r="J91" s="19" t="s">
        <v>269</v>
      </c>
      <c r="K91" s="19" t="s">
        <v>269</v>
      </c>
      <c r="L91" s="19" t="s">
        <v>269</v>
      </c>
      <c r="M91" s="19" t="s">
        <v>269</v>
      </c>
      <c r="N91" s="19" t="s">
        <v>269</v>
      </c>
      <c r="O91" s="19" t="s">
        <v>269</v>
      </c>
      <c r="P91" s="19" t="s">
        <v>269</v>
      </c>
      <c r="Q91" s="19" t="s">
        <v>269</v>
      </c>
      <c r="R91" s="19" t="s">
        <v>269</v>
      </c>
      <c r="S91" s="19" t="s">
        <v>269</v>
      </c>
      <c r="T91" s="19" t="s">
        <v>269</v>
      </c>
      <c r="U91" s="19" t="s">
        <v>269</v>
      </c>
      <c r="V91" s="19" t="s">
        <v>269</v>
      </c>
      <c r="W91" s="19" t="s">
        <v>269</v>
      </c>
      <c r="X91" s="19" t="s">
        <v>269</v>
      </c>
      <c r="Y91" s="19" t="s">
        <v>269</v>
      </c>
      <c r="Z91" s="19" t="s">
        <v>269</v>
      </c>
      <c r="AA91" s="19" t="s">
        <v>269</v>
      </c>
      <c r="AB91" s="19" t="s">
        <v>269</v>
      </c>
      <c r="AC91" s="19" t="s">
        <v>269</v>
      </c>
      <c r="AD91" s="19" t="s">
        <v>269</v>
      </c>
      <c r="AE91" s="19" t="s">
        <v>269</v>
      </c>
      <c r="AF91" s="19" t="s">
        <v>269</v>
      </c>
      <c r="AG91" s="19" t="s">
        <v>269</v>
      </c>
      <c r="AH91" s="19" t="s">
        <v>269</v>
      </c>
      <c r="AI91" s="19" t="s">
        <v>269</v>
      </c>
      <c r="AJ91" s="19" t="s">
        <v>269</v>
      </c>
      <c r="AK91" s="19" t="s">
        <v>269</v>
      </c>
      <c r="AL91" s="19" t="s">
        <v>269</v>
      </c>
      <c r="AM91" s="19" t="s">
        <v>269</v>
      </c>
      <c r="AN91" s="19" t="s">
        <v>269</v>
      </c>
      <c r="AO91" s="19" t="s">
        <v>269</v>
      </c>
      <c r="AP91" s="19" t="s">
        <v>269</v>
      </c>
      <c r="AQ91" s="150" t="s">
        <v>269</v>
      </c>
      <c r="AR91" s="150" t="s">
        <v>269</v>
      </c>
      <c r="AS91" s="150" t="s">
        <v>269</v>
      </c>
      <c r="AT91" s="150" t="s">
        <v>269</v>
      </c>
    </row>
    <row r="92" spans="1:64" s="64" customFormat="1" ht="12.75" x14ac:dyDescent="0.2">
      <c r="A92" s="64" t="s">
        <v>360</v>
      </c>
      <c r="B92" s="81">
        <f>B90</f>
        <v>-3.9496680961405295E-4</v>
      </c>
      <c r="C92" s="81">
        <f>B92+C90</f>
        <v>-7.8568893690404836E-4</v>
      </c>
      <c r="D92" s="81">
        <f t="shared" ref="D92:AT92" si="29">C92+D90</f>
        <v>-1.1707484246681016E-3</v>
      </c>
      <c r="E92" s="81">
        <f t="shared" si="29"/>
        <v>-1.550227340145721E-3</v>
      </c>
      <c r="F92" s="81">
        <f t="shared" si="29"/>
        <v>-1.9242065611961255E-3</v>
      </c>
      <c r="G92" s="81">
        <f t="shared" si="29"/>
        <v>-2.2927657935356564E-3</v>
      </c>
      <c r="H92" s="81">
        <f t="shared" si="29"/>
        <v>-2.6559835877253391E-3</v>
      </c>
      <c r="I92" s="81">
        <f t="shared" si="29"/>
        <v>-3.0139373559122714E-3</v>
      </c>
      <c r="J92" s="81">
        <f t="shared" si="29"/>
        <v>-3.3667033883283816E-3</v>
      </c>
      <c r="K92" s="81">
        <f t="shared" si="29"/>
        <v>-3.7143568695500537E-3</v>
      </c>
      <c r="L92" s="81">
        <f t="shared" si="29"/>
        <v>-4.0569718945221347E-3</v>
      </c>
      <c r="M92" s="81">
        <f t="shared" si="29"/>
        <v>-4.3946214843496954E-3</v>
      </c>
      <c r="N92" s="81">
        <f t="shared" si="29"/>
        <v>-4.7273776018609149E-3</v>
      </c>
      <c r="O92" s="81">
        <f t="shared" si="29"/>
        <v>-5.0553111669444347E-3</v>
      </c>
      <c r="P92" s="81">
        <f t="shared" si="29"/>
        <v>-5.3784920716644256E-3</v>
      </c>
      <c r="Q92" s="81">
        <f t="shared" si="29"/>
        <v>-5.6969891951565901E-3</v>
      </c>
      <c r="R92" s="81">
        <f t="shared" si="29"/>
        <v>-6.0108704183082888E-3</v>
      </c>
      <c r="S92" s="81">
        <f t="shared" si="29"/>
        <v>-6.3202026382259031E-3</v>
      </c>
      <c r="T92" s="81">
        <f t="shared" si="29"/>
        <v>-6.6250517824925394E-3</v>
      </c>
      <c r="U92" s="81">
        <f t="shared" si="29"/>
        <v>-6.9254828232190781E-3</v>
      </c>
      <c r="V92" s="81">
        <f t="shared" si="29"/>
        <v>-7.2215597908916098E-3</v>
      </c>
      <c r="W92" s="81">
        <f t="shared" si="29"/>
        <v>-7.5133457880181623E-3</v>
      </c>
      <c r="X92" s="81">
        <f t="shared" si="29"/>
        <v>-7.800903002577666E-3</v>
      </c>
      <c r="Y92" s="81">
        <f t="shared" si="29"/>
        <v>-8.0842927212739883E-3</v>
      </c>
      <c r="Z92" s="81">
        <f t="shared" si="29"/>
        <v>-8.3635753425978995E-3</v>
      </c>
      <c r="AA92" s="81">
        <f t="shared" si="29"/>
        <v>-8.6388103896997241E-3</v>
      </c>
      <c r="AB92" s="81">
        <f t="shared" si="29"/>
        <v>-8.9100565230754367E-3</v>
      </c>
      <c r="AC92" s="81">
        <f t="shared" si="29"/>
        <v>-9.1773715530688912E-3</v>
      </c>
      <c r="AD92" s="81">
        <f t="shared" si="29"/>
        <v>-9.440812452192875E-3</v>
      </c>
      <c r="AE92" s="81">
        <f t="shared" si="29"/>
        <v>-9.700435367271585E-3</v>
      </c>
      <c r="AF92" s="81">
        <f t="shared" si="29"/>
        <v>-9.9562956314071249E-3</v>
      </c>
      <c r="AG92" s="81">
        <f t="shared" si="29"/>
        <v>-1.0208447775772586E-2</v>
      </c>
      <c r="AH92" s="81">
        <f t="shared" si="29"/>
        <v>-1.0456945541234197E-2</v>
      </c>
      <c r="AI92" s="81">
        <f t="shared" si="29"/>
        <v>-1.0701841889805061E-2</v>
      </c>
      <c r="AJ92" s="81">
        <f t="shared" si="29"/>
        <v>-1.094318901593287E-2</v>
      </c>
      <c r="AK92" s="81">
        <f t="shared" si="29"/>
        <v>-1.1181038357624044E-2</v>
      </c>
      <c r="AL92" s="81">
        <f t="shared" si="29"/>
        <v>-1.141544060740665E-2</v>
      </c>
      <c r="AM92" s="81">
        <f t="shared" si="29"/>
        <v>-1.1646445723134436E-2</v>
      </c>
      <c r="AN92" s="81">
        <f t="shared" si="29"/>
        <v>-1.1874102938634282E-2</v>
      </c>
      <c r="AO92" s="81">
        <f t="shared" si="29"/>
        <v>-1.2098460774199349E-2</v>
      </c>
      <c r="AP92" s="81">
        <f t="shared" si="29"/>
        <v>-1.2319567046930139E-2</v>
      </c>
      <c r="AQ92" s="81">
        <f t="shared" si="29"/>
        <v>-1.25374688809257E-2</v>
      </c>
      <c r="AR92" s="81">
        <f t="shared" si="29"/>
        <v>-1.2752212717327124E-2</v>
      </c>
      <c r="AS92" s="81">
        <f t="shared" si="29"/>
        <v>-1.2963844324215483E-2</v>
      </c>
      <c r="AT92" s="81">
        <f t="shared" si="29"/>
        <v>-1.317240880636633E-2</v>
      </c>
      <c r="AU92" s="75"/>
      <c r="AV92" s="75"/>
      <c r="AW92" s="75"/>
      <c r="AX92" s="75"/>
      <c r="AY92" s="75"/>
      <c r="AZ92" s="75"/>
      <c r="BA92" s="63"/>
      <c r="BB92" s="63"/>
      <c r="BC92" s="63"/>
      <c r="BD92" s="63"/>
      <c r="BE92" s="63"/>
      <c r="BF92" s="63"/>
      <c r="BG92" s="63"/>
      <c r="BH92" s="63"/>
      <c r="BI92" s="63"/>
      <c r="BJ92" s="63"/>
      <c r="BK92" s="63"/>
      <c r="BL92" s="63"/>
    </row>
    <row r="94" spans="1:64" s="34" customFormat="1" x14ac:dyDescent="0.25">
      <c r="A94" s="34" t="s">
        <v>361</v>
      </c>
      <c r="B94" s="60">
        <f>IF(Diskontering!B16&lt;=Diskontering!$A$5,($A$58*B69),0)</f>
        <v>0</v>
      </c>
      <c r="C94" s="60">
        <f>IF(Diskontering!C16&lt;=Diskontering!$A$5,($A$58*C69),0)</f>
        <v>0</v>
      </c>
      <c r="D94" s="60">
        <f>IF(Diskontering!D16&lt;=Diskontering!$A$5,($A$58*D69),0)</f>
        <v>0</v>
      </c>
      <c r="E94" s="60">
        <f>IF(Diskontering!E16&lt;=Diskontering!$A$5,($A$58*E69),0)</f>
        <v>0</v>
      </c>
      <c r="F94" s="60">
        <f>IF(Diskontering!F16&lt;=Diskontering!$A$5,($A$58*F69),0)</f>
        <v>0</v>
      </c>
      <c r="G94" s="60">
        <f>IF(Diskontering!G16&lt;=Diskontering!$A$5,($A$58*G69),0)</f>
        <v>0</v>
      </c>
      <c r="H94" s="60">
        <f>IF(Diskontering!H16&lt;=Diskontering!$A$5,($A$58*H69),0)</f>
        <v>0</v>
      </c>
      <c r="I94" s="60">
        <f>IF(Diskontering!I16&lt;=Diskontering!$A$5,($A$58*I69),0)</f>
        <v>0</v>
      </c>
      <c r="J94" s="60">
        <f>IF(Diskontering!J16&lt;=Diskontering!$A$5,($A$58*J69),0)</f>
        <v>0</v>
      </c>
      <c r="K94" s="60">
        <f>IF(Diskontering!K16&lt;=Diskontering!$A$5,($A$58*K69),0)</f>
        <v>0</v>
      </c>
      <c r="L94" s="60">
        <f>IF(Diskontering!L16&lt;=Diskontering!$A$5,($A$58*L69),0)</f>
        <v>0</v>
      </c>
      <c r="M94" s="60">
        <f>IF(Diskontering!M16&lt;=Diskontering!$A$5,($A$58*M69),0)</f>
        <v>0</v>
      </c>
      <c r="N94" s="60">
        <f>IF(Diskontering!N16&lt;=Diskontering!$A$5,($A$58*N69),0)</f>
        <v>0</v>
      </c>
      <c r="O94" s="60">
        <f>IF(Diskontering!O16&lt;=Diskontering!$A$5,($A$58*O69),0)</f>
        <v>0</v>
      </c>
      <c r="P94" s="60">
        <f>IF(Diskontering!P16&lt;=Diskontering!$A$5,($A$58*P69),0)</f>
        <v>0</v>
      </c>
      <c r="Q94" s="60">
        <f>IF(Diskontering!Q16&lt;=Diskontering!$A$5,($A$58*Q69),0)</f>
        <v>0</v>
      </c>
      <c r="R94" s="60">
        <f>IF(Diskontering!R16&lt;=Diskontering!$A$5,($A$58*R69),0)</f>
        <v>0</v>
      </c>
      <c r="S94" s="60">
        <f>IF(Diskontering!S16&lt;=Diskontering!$A$5,($A$58*S69),0)</f>
        <v>0</v>
      </c>
      <c r="T94" s="60">
        <f>IF(Diskontering!T16&lt;=Diskontering!$A$5,($A$58*T69),0)</f>
        <v>0</v>
      </c>
      <c r="U94" s="60">
        <f>IF(Diskontering!U16&lt;=Diskontering!$A$5,($A$58*U69),0)</f>
        <v>0</v>
      </c>
      <c r="V94" s="60">
        <f>IF(Diskontering!V16&lt;=Diskontering!$A$5,($A$58*V69),0)</f>
        <v>0</v>
      </c>
      <c r="W94" s="60">
        <f>IF(Diskontering!W16&lt;=Diskontering!$A$5,($A$58*W69),0)</f>
        <v>0</v>
      </c>
      <c r="X94" s="60">
        <f>IF(Diskontering!X16&lt;=Diskontering!$A$5,($A$58*X69),0)</f>
        <v>0</v>
      </c>
      <c r="Y94" s="60">
        <f>IF(Diskontering!Y16&lt;=Diskontering!$A$5,($A$58*Y69),0)</f>
        <v>0</v>
      </c>
      <c r="Z94" s="60">
        <f>IF(Diskontering!Z16&lt;=Diskontering!$A$5,($A$58*Z69),0)</f>
        <v>0</v>
      </c>
      <c r="AA94" s="60">
        <f>IF(Diskontering!AA16&lt;=Diskontering!$A$5,($A$58*AA69),0)</f>
        <v>0</v>
      </c>
      <c r="AB94" s="60">
        <f>IF(Diskontering!AB16&lt;=Diskontering!$A$5,($A$58*AB69),0)</f>
        <v>0</v>
      </c>
      <c r="AC94" s="60">
        <f>IF(Diskontering!AC16&lt;=Diskontering!$A$5,($A$58*AC69),0)</f>
        <v>0</v>
      </c>
      <c r="AD94" s="60">
        <f>IF(Diskontering!AD16&lt;=Diskontering!$A$5,($A$58*AD69),0)</f>
        <v>0</v>
      </c>
      <c r="AE94" s="60">
        <f>IF(Diskontering!AE16&lt;=Diskontering!$A$5,($A$58*AE69),0)</f>
        <v>0</v>
      </c>
      <c r="AF94" s="60">
        <f>IF(Diskontering!AF16&lt;=Diskontering!$A$5,($A$58*AF69),0)</f>
        <v>0</v>
      </c>
      <c r="AG94" s="60">
        <f>IF(Diskontering!AG16&lt;=Diskontering!$A$5,($A$58*AG69),0)</f>
        <v>0</v>
      </c>
      <c r="AH94" s="60">
        <f>IF(Diskontering!AH16&lt;=Diskontering!$A$5,($A$58*AH69),0)</f>
        <v>0</v>
      </c>
      <c r="AI94" s="60">
        <f>IF(Diskontering!AI16&lt;=Diskontering!$A$5,($A$58*AI69),0)</f>
        <v>0</v>
      </c>
      <c r="AJ94" s="60">
        <f>IF(Diskontering!AJ16&lt;=Diskontering!$A$5,($A$58*AJ69),0)</f>
        <v>0</v>
      </c>
      <c r="AK94" s="60">
        <f>IF(Diskontering!AK16&lt;=Diskontering!$A$5,($A$58*AK69),0)</f>
        <v>0</v>
      </c>
      <c r="AL94" s="60">
        <f>IF(Diskontering!AL16&lt;=Diskontering!$A$5,($A$58*AL69),0)</f>
        <v>0</v>
      </c>
      <c r="AM94" s="60">
        <f>IF(Diskontering!AM16&lt;=Diskontering!$A$5,($A$58*AM69),0)</f>
        <v>0</v>
      </c>
      <c r="AN94" s="60">
        <f>IF(Diskontering!AN16&lt;=Diskontering!$A$5,($A$58*AN69),0)</f>
        <v>0</v>
      </c>
      <c r="AO94" s="60">
        <f>IF(Diskontering!AO16&lt;=Diskontering!$A$5,($A$58*AO69),0)</f>
        <v>0</v>
      </c>
      <c r="AP94" s="60">
        <f>IF(Diskontering!AP16&lt;=Diskontering!$A$5,($A$58*AP69),0)</f>
        <v>0</v>
      </c>
      <c r="AQ94" s="60">
        <f>IF(Diskontering!AQ16&lt;=Diskontering!$A$5,($A$58*AQ69),0)</f>
        <v>0</v>
      </c>
      <c r="AR94" s="60">
        <f>IF(Diskontering!AR16&lt;=Diskontering!$A$5,($A$58*AR69),0)</f>
        <v>0</v>
      </c>
      <c r="AS94" s="60">
        <f>IF(Diskontering!AS16&lt;=Diskontering!$A$5,($A$58*AS69),0)</f>
        <v>0</v>
      </c>
      <c r="AT94" s="60">
        <f>IF(Diskontering!AT16&lt;=Diskontering!$A$5,($A$58*AT69),0)</f>
        <v>0</v>
      </c>
      <c r="AU94" s="60"/>
      <c r="AV94" s="60"/>
      <c r="AW94" s="60"/>
      <c r="AX94" s="60"/>
      <c r="AY94" s="60"/>
      <c r="AZ94" s="60"/>
      <c r="BA94" s="44"/>
      <c r="BB94" s="44"/>
      <c r="BC94" s="44"/>
      <c r="BD94" s="44"/>
      <c r="BE94" s="44"/>
      <c r="BF94" s="44"/>
      <c r="BG94" s="44"/>
      <c r="BH94" s="44"/>
      <c r="BI94" s="44"/>
      <c r="BJ94" s="44"/>
      <c r="BK94" s="44"/>
      <c r="BL94" s="44"/>
    </row>
    <row r="96" spans="1:64" s="64" customFormat="1" ht="12.75" x14ac:dyDescent="0.2">
      <c r="A96" s="64" t="s">
        <v>362</v>
      </c>
      <c r="B96" s="82">
        <f>B94</f>
        <v>0</v>
      </c>
      <c r="C96" s="74">
        <f>B96+C94</f>
        <v>0</v>
      </c>
      <c r="D96" s="74">
        <f t="shared" ref="D96:AT96" si="30">C96+D94</f>
        <v>0</v>
      </c>
      <c r="E96" s="74">
        <f t="shared" si="30"/>
        <v>0</v>
      </c>
      <c r="F96" s="74">
        <f t="shared" si="30"/>
        <v>0</v>
      </c>
      <c r="G96" s="74">
        <f t="shared" si="30"/>
        <v>0</v>
      </c>
      <c r="H96" s="74">
        <f t="shared" si="30"/>
        <v>0</v>
      </c>
      <c r="I96" s="74">
        <f t="shared" si="30"/>
        <v>0</v>
      </c>
      <c r="J96" s="74">
        <f t="shared" si="30"/>
        <v>0</v>
      </c>
      <c r="K96" s="74">
        <f t="shared" si="30"/>
        <v>0</v>
      </c>
      <c r="L96" s="74">
        <f t="shared" si="30"/>
        <v>0</v>
      </c>
      <c r="M96" s="74">
        <f t="shared" si="30"/>
        <v>0</v>
      </c>
      <c r="N96" s="74">
        <f t="shared" si="30"/>
        <v>0</v>
      </c>
      <c r="O96" s="74">
        <f t="shared" si="30"/>
        <v>0</v>
      </c>
      <c r="P96" s="74">
        <f t="shared" si="30"/>
        <v>0</v>
      </c>
      <c r="Q96" s="74">
        <f t="shared" si="30"/>
        <v>0</v>
      </c>
      <c r="R96" s="74">
        <f t="shared" si="30"/>
        <v>0</v>
      </c>
      <c r="S96" s="74">
        <f t="shared" si="30"/>
        <v>0</v>
      </c>
      <c r="T96" s="74">
        <f t="shared" si="30"/>
        <v>0</v>
      </c>
      <c r="U96" s="74">
        <f t="shared" si="30"/>
        <v>0</v>
      </c>
      <c r="V96" s="74">
        <f t="shared" si="30"/>
        <v>0</v>
      </c>
      <c r="W96" s="74">
        <f t="shared" si="30"/>
        <v>0</v>
      </c>
      <c r="X96" s="74">
        <f t="shared" si="30"/>
        <v>0</v>
      </c>
      <c r="Y96" s="74">
        <f t="shared" si="30"/>
        <v>0</v>
      </c>
      <c r="Z96" s="74">
        <f t="shared" si="30"/>
        <v>0</v>
      </c>
      <c r="AA96" s="74">
        <f t="shared" si="30"/>
        <v>0</v>
      </c>
      <c r="AB96" s="74">
        <f t="shared" si="30"/>
        <v>0</v>
      </c>
      <c r="AC96" s="74">
        <f t="shared" si="30"/>
        <v>0</v>
      </c>
      <c r="AD96" s="74">
        <f t="shared" si="30"/>
        <v>0</v>
      </c>
      <c r="AE96" s="74">
        <f t="shared" si="30"/>
        <v>0</v>
      </c>
      <c r="AF96" s="74">
        <f t="shared" si="30"/>
        <v>0</v>
      </c>
      <c r="AG96" s="74">
        <f t="shared" si="30"/>
        <v>0</v>
      </c>
      <c r="AH96" s="74">
        <f t="shared" si="30"/>
        <v>0</v>
      </c>
      <c r="AI96" s="74">
        <f t="shared" si="30"/>
        <v>0</v>
      </c>
      <c r="AJ96" s="74">
        <f t="shared" si="30"/>
        <v>0</v>
      </c>
      <c r="AK96" s="74">
        <f t="shared" si="30"/>
        <v>0</v>
      </c>
      <c r="AL96" s="74">
        <f t="shared" si="30"/>
        <v>0</v>
      </c>
      <c r="AM96" s="74">
        <f t="shared" si="30"/>
        <v>0</v>
      </c>
      <c r="AN96" s="74">
        <f t="shared" si="30"/>
        <v>0</v>
      </c>
      <c r="AO96" s="74">
        <f t="shared" si="30"/>
        <v>0</v>
      </c>
      <c r="AP96" s="74">
        <f t="shared" si="30"/>
        <v>0</v>
      </c>
      <c r="AQ96" s="74">
        <f t="shared" si="30"/>
        <v>0</v>
      </c>
      <c r="AR96" s="74">
        <f t="shared" si="30"/>
        <v>0</v>
      </c>
      <c r="AS96" s="74">
        <f t="shared" si="30"/>
        <v>0</v>
      </c>
      <c r="AT96" s="74">
        <f t="shared" si="30"/>
        <v>0</v>
      </c>
      <c r="AU96" s="75"/>
      <c r="AV96" s="75"/>
      <c r="AW96" s="75"/>
      <c r="AX96" s="75"/>
      <c r="AY96" s="75"/>
      <c r="AZ96" s="75"/>
      <c r="BA96" s="63"/>
      <c r="BB96" s="63"/>
      <c r="BC96" s="63"/>
      <c r="BD96" s="63"/>
      <c r="BE96" s="63"/>
      <c r="BF96" s="63"/>
      <c r="BG96" s="63"/>
      <c r="BH96" s="63"/>
      <c r="BI96" s="63"/>
      <c r="BJ96" s="63"/>
      <c r="BK96" s="63"/>
      <c r="BL96" s="63"/>
    </row>
    <row r="98" spans="1:64" s="116" customFormat="1" ht="38.25" customHeight="1" x14ac:dyDescent="0.25">
      <c r="A98" s="165" t="s">
        <v>363</v>
      </c>
      <c r="B98" s="162">
        <f t="shared" ref="B98:AL98" si="31">B78+B92+B96</f>
        <v>-2.8188736908357162</v>
      </c>
      <c r="C98" s="162">
        <f t="shared" si="31"/>
        <v>-5.5968956192496</v>
      </c>
      <c r="D98" s="162">
        <f t="shared" si="31"/>
        <v>-8.3346563602951651</v>
      </c>
      <c r="E98" s="162">
        <f t="shared" si="31"/>
        <v>-11.03273940944152</v>
      </c>
      <c r="F98" s="162">
        <f t="shared" si="31"/>
        <v>-13.691719805701698</v>
      </c>
      <c r="G98" s="162">
        <f t="shared" si="31"/>
        <v>-16.312164254189987</v>
      </c>
      <c r="H98" s="162">
        <f t="shared" si="31"/>
        <v>-18.894631246903089</v>
      </c>
      <c r="I98" s="162">
        <f t="shared" si="31"/>
        <v>-21.439671181750779</v>
      </c>
      <c r="J98" s="162">
        <f t="shared" si="31"/>
        <v>-23.947826479861543</v>
      </c>
      <c r="K98" s="162">
        <f t="shared" si="31"/>
        <v>-26.419631701188102</v>
      </c>
      <c r="L98" s="162">
        <f t="shared" si="31"/>
        <v>-28.855613658437459</v>
      </c>
      <c r="M98" s="162">
        <f t="shared" si="31"/>
        <v>-31.25629152934987</v>
      </c>
      <c r="N98" s="162">
        <f t="shared" si="31"/>
        <v>-33.622176967350505</v>
      </c>
      <c r="O98" s="162">
        <f t="shared" si="31"/>
        <v>-35.953774210597508</v>
      </c>
      <c r="P98" s="162">
        <f t="shared" si="31"/>
        <v>-38.251580189449633</v>
      </c>
      <c r="Q98" s="162">
        <f t="shared" si="31"/>
        <v>-40.516084632376362</v>
      </c>
      <c r="R98" s="162">
        <f t="shared" si="31"/>
        <v>-42.747770170333141</v>
      </c>
      <c r="S98" s="162">
        <f t="shared" si="31"/>
        <v>-44.947112439623879</v>
      </c>
      <c r="T98" s="162">
        <f t="shared" si="31"/>
        <v>-47.114580183272722</v>
      </c>
      <c r="U98" s="162">
        <f t="shared" si="31"/>
        <v>-49.250635350926657</v>
      </c>
      <c r="V98" s="162">
        <f t="shared" si="31"/>
        <v>-51.355733197310244</v>
      </c>
      <c r="W98" s="162">
        <f t="shared" si="31"/>
        <v>-53.430322379253489</v>
      </c>
      <c r="X98" s="162">
        <f t="shared" si="31"/>
        <v>-55.474845051313494</v>
      </c>
      <c r="Y98" s="162">
        <f t="shared" si="31"/>
        <v>-57.489736960010312</v>
      </c>
      <c r="Z98" s="162">
        <f t="shared" si="31"/>
        <v>-59.47542753669704</v>
      </c>
      <c r="AA98" s="162">
        <f t="shared" si="31"/>
        <v>-61.43233998908395</v>
      </c>
      <c r="AB98" s="162">
        <f t="shared" si="31"/>
        <v>-63.360891391436276</v>
      </c>
      <c r="AC98" s="162">
        <f t="shared" si="31"/>
        <v>-65.261492773464639</v>
      </c>
      <c r="AD98" s="162">
        <f t="shared" si="31"/>
        <v>-67.134549207927392</v>
      </c>
      <c r="AE98" s="162">
        <f t="shared" si="31"/>
        <v>-68.980459896963126</v>
      </c>
      <c r="AF98" s="162">
        <f t="shared" si="31"/>
        <v>-70.799618257172284</v>
      </c>
      <c r="AG98" s="162">
        <f t="shared" si="31"/>
        <v>-72.592412003465341</v>
      </c>
      <c r="AH98" s="162">
        <f t="shared" si="31"/>
        <v>-74.359223231696205</v>
      </c>
      <c r="AI98" s="162">
        <f t="shared" si="31"/>
        <v>-76.100428500097635</v>
      </c>
      <c r="AJ98" s="162">
        <f t="shared" si="31"/>
        <v>-77.816398909536716</v>
      </c>
      <c r="AK98" s="162">
        <f t="shared" si="31"/>
        <v>-79.507500182607103</v>
      </c>
      <c r="AL98" s="162">
        <f t="shared" si="31"/>
        <v>-81.174092741575038</v>
      </c>
      <c r="AM98" s="162">
        <f t="shared" ref="AM98:AT98" si="32">AM78+AM92+AM96</f>
        <v>-82.816531785195593</v>
      </c>
      <c r="AN98" s="162">
        <f t="shared" si="32"/>
        <v>-84.435167364415861</v>
      </c>
      <c r="AO98" s="162">
        <f t="shared" si="32"/>
        <v>-86.030344456980757</v>
      </c>
      <c r="AP98" s="162">
        <f t="shared" si="32"/>
        <v>-87.602403040957768</v>
      </c>
      <c r="AQ98" s="162">
        <f t="shared" si="32"/>
        <v>-89.151678167195968</v>
      </c>
      <c r="AR98" s="162">
        <f t="shared" si="32"/>
        <v>-90.67850003073508</v>
      </c>
      <c r="AS98" s="162">
        <f t="shared" si="32"/>
        <v>-92.183194041179419</v>
      </c>
      <c r="AT98" s="162">
        <f t="shared" si="32"/>
        <v>-93.666080892052094</v>
      </c>
      <c r="AU98" s="163"/>
      <c r="AV98" s="163"/>
      <c r="AW98" s="163"/>
      <c r="AX98" s="163"/>
      <c r="AY98" s="163"/>
      <c r="AZ98" s="163"/>
      <c r="BA98" s="164"/>
      <c r="BB98" s="164"/>
      <c r="BC98" s="164"/>
      <c r="BD98" s="164"/>
      <c r="BE98" s="164"/>
      <c r="BF98" s="164"/>
      <c r="BG98" s="164"/>
      <c r="BH98" s="164"/>
      <c r="BI98" s="164"/>
      <c r="BJ98" s="164"/>
      <c r="BK98" s="164"/>
      <c r="BL98" s="164"/>
    </row>
    <row r="102" spans="1:64" ht="15.75" x14ac:dyDescent="0.25">
      <c r="A102" s="67" t="s">
        <v>267</v>
      </c>
    </row>
    <row r="103" spans="1:64" x14ac:dyDescent="0.25">
      <c r="A103" s="43" t="s">
        <v>377</v>
      </c>
    </row>
    <row r="105" spans="1:64" x14ac:dyDescent="0.25">
      <c r="A105" s="66" t="s">
        <v>364</v>
      </c>
    </row>
    <row r="106" spans="1:64" x14ac:dyDescent="0.25">
      <c r="A106" s="20" t="s">
        <v>333</v>
      </c>
      <c r="B106" s="61">
        <f>SUM(B73:AL73)</f>
        <v>-80.722947894961209</v>
      </c>
    </row>
    <row r="107" spans="1:64" x14ac:dyDescent="0.25">
      <c r="A107" s="20" t="s">
        <v>276</v>
      </c>
      <c r="B107" s="61">
        <f>SUM(B74:AL74)</f>
        <v>-0.43972940600641897</v>
      </c>
    </row>
    <row r="109" spans="1:64" x14ac:dyDescent="0.25">
      <c r="A109" s="66" t="s">
        <v>335</v>
      </c>
    </row>
    <row r="110" spans="1:64" x14ac:dyDescent="0.25">
      <c r="A110" s="20" t="s">
        <v>111</v>
      </c>
      <c r="B110" s="76">
        <f>SUM(B90:AP90)</f>
        <v>-1.2319567046930139E-2</v>
      </c>
    </row>
    <row r="112" spans="1:64" x14ac:dyDescent="0.25">
      <c r="A112" s="66" t="s">
        <v>365</v>
      </c>
    </row>
    <row r="113" spans="1:3" x14ac:dyDescent="0.25">
      <c r="A113" s="20" t="s">
        <v>366</v>
      </c>
      <c r="B113" s="60">
        <f>SUM(B94:AL94)</f>
        <v>0</v>
      </c>
    </row>
    <row r="115" spans="1:3" x14ac:dyDescent="0.25">
      <c r="A115" s="64" t="s">
        <v>106</v>
      </c>
      <c r="B115" s="74">
        <f>SUM(B106:B113)</f>
        <v>-81.17499686801456</v>
      </c>
      <c r="C115" s="36" t="s">
        <v>269</v>
      </c>
    </row>
  </sheetData>
  <mergeCells count="4">
    <mergeCell ref="AD3:AI3"/>
    <mergeCell ref="AJ3:AQ3"/>
    <mergeCell ref="BH3:BL3"/>
    <mergeCell ref="Y4:Z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P72"/>
  <sheetViews>
    <sheetView topLeftCell="A49" workbookViewId="0">
      <selection activeCell="B57" sqref="B57"/>
    </sheetView>
  </sheetViews>
  <sheetFormatPr defaultRowHeight="15" x14ac:dyDescent="0.25"/>
  <cols>
    <col min="1" max="1" width="22.7109375" customWidth="1"/>
    <col min="2" max="2" width="11.7109375" customWidth="1"/>
  </cols>
  <sheetData>
    <row r="6" spans="1:42" s="11" customFormat="1" x14ac:dyDescent="0.25">
      <c r="A6" s="18" t="s">
        <v>207</v>
      </c>
      <c r="B6" s="22">
        <v>2025</v>
      </c>
      <c r="C6" s="11">
        <f>B6+1</f>
        <v>2026</v>
      </c>
      <c r="D6" s="11">
        <f t="shared" ref="D6:AP6" si="0">C6+1</f>
        <v>2027</v>
      </c>
      <c r="E6" s="11">
        <f t="shared" si="0"/>
        <v>2028</v>
      </c>
      <c r="F6" s="11">
        <f t="shared" si="0"/>
        <v>2029</v>
      </c>
      <c r="G6" s="11">
        <f t="shared" si="0"/>
        <v>2030</v>
      </c>
      <c r="H6" s="11">
        <f t="shared" si="0"/>
        <v>2031</v>
      </c>
      <c r="I6" s="11">
        <f t="shared" si="0"/>
        <v>2032</v>
      </c>
      <c r="J6" s="11">
        <f t="shared" si="0"/>
        <v>2033</v>
      </c>
      <c r="K6" s="11">
        <f t="shared" si="0"/>
        <v>2034</v>
      </c>
      <c r="L6" s="11">
        <f t="shared" si="0"/>
        <v>2035</v>
      </c>
      <c r="M6" s="11">
        <f t="shared" si="0"/>
        <v>2036</v>
      </c>
      <c r="N6" s="11">
        <f t="shared" si="0"/>
        <v>2037</v>
      </c>
      <c r="O6" s="11">
        <f t="shared" si="0"/>
        <v>2038</v>
      </c>
      <c r="P6" s="11">
        <f t="shared" si="0"/>
        <v>2039</v>
      </c>
      <c r="Q6" s="11">
        <f t="shared" si="0"/>
        <v>2040</v>
      </c>
      <c r="R6" s="11">
        <f t="shared" si="0"/>
        <v>2041</v>
      </c>
      <c r="S6" s="11">
        <f t="shared" si="0"/>
        <v>2042</v>
      </c>
      <c r="T6" s="11">
        <f t="shared" si="0"/>
        <v>2043</v>
      </c>
      <c r="U6" s="11">
        <f t="shared" si="0"/>
        <v>2044</v>
      </c>
      <c r="V6" s="11">
        <f t="shared" si="0"/>
        <v>2045</v>
      </c>
      <c r="W6" s="11">
        <f t="shared" si="0"/>
        <v>2046</v>
      </c>
      <c r="X6" s="11">
        <f t="shared" si="0"/>
        <v>2047</v>
      </c>
      <c r="Y6" s="11">
        <f t="shared" si="0"/>
        <v>2048</v>
      </c>
      <c r="Z6" s="11">
        <f t="shared" si="0"/>
        <v>2049</v>
      </c>
      <c r="AA6" s="11">
        <f t="shared" si="0"/>
        <v>2050</v>
      </c>
      <c r="AB6" s="11">
        <f t="shared" si="0"/>
        <v>2051</v>
      </c>
      <c r="AC6" s="11">
        <f t="shared" si="0"/>
        <v>2052</v>
      </c>
      <c r="AD6" s="11">
        <f t="shared" si="0"/>
        <v>2053</v>
      </c>
      <c r="AE6" s="11">
        <f t="shared" si="0"/>
        <v>2054</v>
      </c>
      <c r="AF6" s="11">
        <f t="shared" si="0"/>
        <v>2055</v>
      </c>
      <c r="AG6" s="11">
        <f t="shared" si="0"/>
        <v>2056</v>
      </c>
      <c r="AH6" s="11">
        <f t="shared" si="0"/>
        <v>2057</v>
      </c>
      <c r="AI6" s="11">
        <f t="shared" si="0"/>
        <v>2058</v>
      </c>
      <c r="AJ6" s="11">
        <f t="shared" si="0"/>
        <v>2059</v>
      </c>
      <c r="AK6" s="11">
        <f t="shared" si="0"/>
        <v>2060</v>
      </c>
      <c r="AL6" s="11">
        <f t="shared" si="0"/>
        <v>2061</v>
      </c>
      <c r="AM6" s="11">
        <f t="shared" si="0"/>
        <v>2062</v>
      </c>
      <c r="AN6" s="11">
        <f t="shared" si="0"/>
        <v>2063</v>
      </c>
      <c r="AO6" s="11">
        <f t="shared" si="0"/>
        <v>2064</v>
      </c>
      <c r="AP6" s="11">
        <f t="shared" si="0"/>
        <v>2065</v>
      </c>
    </row>
    <row r="7" spans="1:42" s="1" customFormat="1" x14ac:dyDescent="0.25">
      <c r="A7" s="3" t="s">
        <v>552</v>
      </c>
      <c r="B7" s="144">
        <f>Diskontering!B79</f>
        <v>13.5</v>
      </c>
      <c r="C7" s="144">
        <f>Diskontering!C79</f>
        <v>17.847826086956523</v>
      </c>
      <c r="D7" s="144">
        <f>Diskontering!D79</f>
        <v>30.450220541902965</v>
      </c>
      <c r="E7" s="144">
        <f>Diskontering!E79</f>
        <v>35.410905423077089</v>
      </c>
      <c r="F7" s="144">
        <f>Diskontering!F79</f>
        <v>39.332395447720664</v>
      </c>
      <c r="G7" s="144">
        <f>Diskontering!G79</f>
        <v>42.279301531725501</v>
      </c>
      <c r="H7" s="144">
        <f>Diskontering!H79</f>
        <v>45.126553786802639</v>
      </c>
      <c r="I7" s="144">
        <f>Diskontering!I79</f>
        <v>55.737431756034198</v>
      </c>
      <c r="J7" s="144">
        <f>Diskontering!J79</f>
        <v>58.395372202791073</v>
      </c>
      <c r="K7" s="144">
        <f>Diskontering!K79</f>
        <v>60.963430605454725</v>
      </c>
      <c r="L7" s="144">
        <f>Diskontering!L79</f>
        <v>-7.4472349175382888</v>
      </c>
      <c r="M7" s="144">
        <f>Diskontering!M79</f>
        <v>-5.0499249194859193</v>
      </c>
      <c r="N7" s="144">
        <f>Diskontering!N79</f>
        <v>-2.7336833754739676</v>
      </c>
      <c r="O7" s="144">
        <f>Diskontering!O79</f>
        <v>63.444646453438942</v>
      </c>
      <c r="P7" s="144">
        <f>Diskontering!P79</f>
        <v>65.606882719407295</v>
      </c>
      <c r="Q7" s="144">
        <f>Diskontering!Q79</f>
        <v>67.695999884594116</v>
      </c>
      <c r="R7" s="144">
        <f>Diskontering!R79</f>
        <v>69.714470575595868</v>
      </c>
      <c r="S7" s="144">
        <f>Diskontering!S79</f>
        <v>71.664683803616896</v>
      </c>
      <c r="T7" s="144">
        <f>Diskontering!T79</f>
        <v>73.548947792043009</v>
      </c>
      <c r="U7" s="144">
        <f>Diskontering!U79</f>
        <v>75.369492708396734</v>
      </c>
      <c r="V7" s="144">
        <f>Diskontering!V79</f>
        <v>77.128473303907583</v>
      </c>
      <c r="W7" s="144">
        <f>Diskontering!W79</f>
        <v>78.827971463821441</v>
      </c>
      <c r="X7" s="144">
        <f>Diskontering!X79</f>
        <v>80.469998671467692</v>
      </c>
      <c r="Y7" s="144">
        <f>Diskontering!Y79</f>
        <v>82.056498389000296</v>
      </c>
      <c r="Z7" s="144">
        <f>Diskontering!Z79</f>
        <v>83.589348357630826</v>
      </c>
      <c r="AA7" s="144">
        <f>Diskontering!AA79</f>
        <v>85.070362820075786</v>
      </c>
      <c r="AB7" s="144">
        <f>Diskontering!AB79</f>
        <v>86.501294667848697</v>
      </c>
      <c r="AC7" s="144">
        <f>Diskontering!AC79</f>
        <v>87.883837515938467</v>
      </c>
      <c r="AD7" s="144">
        <f>Diskontering!AD79</f>
        <v>89.219627707329551</v>
      </c>
      <c r="AE7" s="144">
        <f>Diskontering!AE79</f>
        <v>90.510246249736397</v>
      </c>
      <c r="AF7" s="144">
        <f>Diskontering!AF79</f>
        <v>91.757220686844462</v>
      </c>
      <c r="AG7" s="144">
        <f>Diskontering!AG79</f>
        <v>92.962026906272541</v>
      </c>
      <c r="AH7" s="144">
        <f>Diskontering!AH79</f>
        <v>94.126090886396284</v>
      </c>
      <c r="AI7" s="144">
        <f>Diskontering!AI79</f>
        <v>95.250790384100384</v>
      </c>
      <c r="AJ7" s="144">
        <f>Diskontering!AJ79</f>
        <v>96.337456565457003</v>
      </c>
      <c r="AK7" s="144">
        <f>Diskontering!AK79</f>
        <v>97.3873755812605</v>
      </c>
      <c r="AL7" s="144">
        <f>Diskontering!AL79</f>
        <v>98.401790089283196</v>
      </c>
      <c r="AM7" s="144">
        <f>Diskontering!AM79</f>
        <v>99.381900725053924</v>
      </c>
      <c r="AN7" s="144">
        <f>Diskontering!AN79</f>
        <v>100.32886752290004</v>
      </c>
      <c r="AO7" s="144">
        <f>Diskontering!AO79</f>
        <v>101.24381128893494</v>
      </c>
      <c r="AP7" s="144">
        <f>Diskontering!AP79</f>
        <v>102.12781492761599</v>
      </c>
    </row>
    <row r="8" spans="1:42" s="1" customFormat="1" x14ac:dyDescent="0.25">
      <c r="A8" s="3" t="s">
        <v>553</v>
      </c>
      <c r="B8" s="144">
        <f>'Person UA1'!B166</f>
        <v>-1.3014842327593572</v>
      </c>
      <c r="C8" s="144">
        <f>'Person UA1'!C166</f>
        <v>-2.5530544177652716</v>
      </c>
      <c r="D8" s="144">
        <f>'Person UA1'!D166</f>
        <v>-3.7566806809179281</v>
      </c>
      <c r="E8" s="144">
        <f>'Person UA1'!E166</f>
        <v>-4.9142537742117831</v>
      </c>
      <c r="F8" s="144">
        <f>'Person UA1'!F166</f>
        <v>-6.0275883167292301</v>
      </c>
      <c r="G8" s="144">
        <f>'Person UA1'!G166</f>
        <v>-7.0984259021886924</v>
      </c>
      <c r="H8" s="144">
        <f>'Person UA1'!H166</f>
        <v>-8.1284380785696246</v>
      </c>
      <c r="I8" s="144">
        <f>'Person UA1'!I166</f>
        <v>-9.1192292051076382</v>
      </c>
      <c r="J8" s="144">
        <f>'Person UA1'!J166</f>
        <v>-10.07233919173329</v>
      </c>
      <c r="K8" s="144">
        <f>'Person UA1'!K166</f>
        <v>-10.989841370110479</v>
      </c>
      <c r="L8" s="144">
        <f>'Person UA1'!L166</f>
        <v>-11.873121167078654</v>
      </c>
      <c r="M8" s="144">
        <f>'Person UA1'!M166</f>
        <v>-12.723508542731157</v>
      </c>
      <c r="N8" s="144">
        <f>'Person UA1'!N166</f>
        <v>-13.542280251664272</v>
      </c>
      <c r="O8" s="144">
        <f>'Person UA1'!O166</f>
        <v>-14.330662011040976</v>
      </c>
      <c r="P8" s="144">
        <f>'Person UA1'!P166</f>
        <v>-15.089830579333137</v>
      </c>
      <c r="Q8" s="144">
        <f>'Person UA1'!Q166</f>
        <v>-15.820915749445241</v>
      </c>
      <c r="R8" s="144">
        <f>'Person UA1'!R166</f>
        <v>-16.525002259768687</v>
      </c>
      <c r="S8" s="144">
        <f>'Person UA1'!S166</f>
        <v>-17.203131626567963</v>
      </c>
      <c r="T8" s="144">
        <f>'Person UA1'!T166</f>
        <v>-17.856303900958654</v>
      </c>
      <c r="U8" s="144">
        <f>'Person UA1'!U166</f>
        <v>-18.485479353601622</v>
      </c>
      <c r="V8" s="144">
        <f>'Person UA1'!V166</f>
        <v>-19.091580090107676</v>
      </c>
      <c r="W8" s="144">
        <f>'Person UA1'!W166</f>
        <v>-19.675491600022696</v>
      </c>
      <c r="X8" s="144">
        <f>'Person UA1'!X166</f>
        <v>-20.23806424214369</v>
      </c>
      <c r="Y8" s="144">
        <f>'Person UA1'!Y166</f>
        <v>-20.780114668802032</v>
      </c>
      <c r="Z8" s="144">
        <f>'Person UA1'!Z166</f>
        <v>-21.302427191640415</v>
      </c>
      <c r="AA8" s="144">
        <f>'Person UA1'!AA166</f>
        <v>-21.805755091305169</v>
      </c>
      <c r="AB8" s="144">
        <f>'Person UA1'!AB166</f>
        <v>-22.290821873374785</v>
      </c>
      <c r="AC8" s="144">
        <f>'Person UA1'!AC166</f>
        <v>-22.758322472749168</v>
      </c>
      <c r="AD8" s="144">
        <f>'Person UA1'!AD166</f>
        <v>-23.208924408631617</v>
      </c>
      <c r="AE8" s="144">
        <f>'Person UA1'!AE166</f>
        <v>-23.643268892146974</v>
      </c>
      <c r="AF8" s="144">
        <f>'Person UA1'!AF166</f>
        <v>-24.061971888554442</v>
      </c>
      <c r="AG8" s="144">
        <f>'Person UA1'!AG166</f>
        <v>-24.465625135932328</v>
      </c>
      <c r="AH8" s="144">
        <f>'Person UA1'!AH166</f>
        <v>-24.854797122133764</v>
      </c>
      <c r="AI8" s="144">
        <f>'Person UA1'!AI166</f>
        <v>-25.230034021738039</v>
      </c>
      <c r="AJ8" s="144">
        <f>'Person UA1'!AJ166</f>
        <v>-25.591860594650239</v>
      </c>
      <c r="AK8" s="144">
        <f>'Person UA1'!AK166</f>
        <v>-25.94078104793352</v>
      </c>
      <c r="AL8" s="144">
        <f>'Person UA1'!AL166</f>
        <v>-26.277279862392383</v>
      </c>
      <c r="AM8" s="144">
        <f>'Person UA1'!AM166</f>
        <v>-26.601822585362392</v>
      </c>
      <c r="AN8" s="144">
        <f>'Person UA1'!AN166</f>
        <v>-26.91485659110133</v>
      </c>
      <c r="AO8" s="144">
        <f>'Person UA1'!AO166</f>
        <v>-27.216811810118799</v>
      </c>
      <c r="AP8" s="144">
        <f>'Person UA1'!AP166</f>
        <v>-27.525176524589355</v>
      </c>
    </row>
    <row r="9" spans="1:42" s="1" customFormat="1" x14ac:dyDescent="0.25">
      <c r="A9" s="3" t="s">
        <v>554</v>
      </c>
      <c r="B9" s="144">
        <f>'Gods UA1'!B98</f>
        <v>-2.8188736908357162</v>
      </c>
      <c r="C9" s="144">
        <f>'Gods UA1'!C98</f>
        <v>-5.5968956192496</v>
      </c>
      <c r="D9" s="144">
        <f>'Gods UA1'!D98</f>
        <v>-8.3346563602951651</v>
      </c>
      <c r="E9" s="144">
        <f>'Gods UA1'!E98</f>
        <v>-11.03273940944152</v>
      </c>
      <c r="F9" s="144">
        <f>'Gods UA1'!F98</f>
        <v>-13.691719805701698</v>
      </c>
      <c r="G9" s="144">
        <f>'Gods UA1'!G98</f>
        <v>-16.312164254189987</v>
      </c>
      <c r="H9" s="144">
        <f>'Gods UA1'!H98</f>
        <v>-18.894631246903089</v>
      </c>
      <c r="I9" s="144">
        <f>'Gods UA1'!I98</f>
        <v>-21.439671181750779</v>
      </c>
      <c r="J9" s="144">
        <f>'Gods UA1'!J98</f>
        <v>-23.947826479861543</v>
      </c>
      <c r="K9" s="144">
        <f>'Gods UA1'!K98</f>
        <v>-26.419631701188102</v>
      </c>
      <c r="L9" s="144">
        <f>'Gods UA1'!L98</f>
        <v>-28.855613658437459</v>
      </c>
      <c r="M9" s="144">
        <f>'Gods UA1'!M98</f>
        <v>-31.25629152934987</v>
      </c>
      <c r="N9" s="144">
        <f>'Gods UA1'!N98</f>
        <v>-33.622176967350505</v>
      </c>
      <c r="O9" s="144">
        <f>'Gods UA1'!O98</f>
        <v>-35.953774210597508</v>
      </c>
      <c r="P9" s="144">
        <f>'Gods UA1'!P98</f>
        <v>-38.251580189449633</v>
      </c>
      <c r="Q9" s="144">
        <f>'Gods UA1'!Q98</f>
        <v>-40.516084632376362</v>
      </c>
      <c r="R9" s="144">
        <f>'Gods UA1'!R98</f>
        <v>-42.747770170333141</v>
      </c>
      <c r="S9" s="144">
        <f>'Gods UA1'!S98</f>
        <v>-44.947112439623879</v>
      </c>
      <c r="T9" s="144">
        <f>'Gods UA1'!T98</f>
        <v>-47.114580183272722</v>
      </c>
      <c r="U9" s="144">
        <f>'Gods UA1'!U98</f>
        <v>-49.250635350926657</v>
      </c>
      <c r="V9" s="144">
        <f>'Gods UA1'!V98</f>
        <v>-51.355733197310244</v>
      </c>
      <c r="W9" s="144">
        <f>'Gods UA1'!W98</f>
        <v>-53.430322379253489</v>
      </c>
      <c r="X9" s="144">
        <f>'Gods UA1'!X98</f>
        <v>-55.474845051313494</v>
      </c>
      <c r="Y9" s="144">
        <f>'Gods UA1'!Y98</f>
        <v>-57.489736960010312</v>
      </c>
      <c r="Z9" s="144">
        <f>'Gods UA1'!Z98</f>
        <v>-59.47542753669704</v>
      </c>
      <c r="AA9" s="144">
        <f>'Gods UA1'!AA98</f>
        <v>-61.43233998908395</v>
      </c>
      <c r="AB9" s="144">
        <f>'Gods UA1'!AB98</f>
        <v>-63.360891391436276</v>
      </c>
      <c r="AC9" s="144">
        <f>'Gods UA1'!AC98</f>
        <v>-65.261492773464639</v>
      </c>
      <c r="AD9" s="144">
        <f>'Gods UA1'!AD98</f>
        <v>-67.134549207927392</v>
      </c>
      <c r="AE9" s="144">
        <f>'Gods UA1'!AE98</f>
        <v>-68.980459896963126</v>
      </c>
      <c r="AF9" s="144">
        <f>'Gods UA1'!AF98</f>
        <v>-70.799618257172284</v>
      </c>
      <c r="AG9" s="144">
        <f>'Gods UA1'!AG98</f>
        <v>-72.592412003465341</v>
      </c>
      <c r="AH9" s="144">
        <f>'Gods UA1'!AH98</f>
        <v>-74.359223231696205</v>
      </c>
      <c r="AI9" s="144">
        <f>'Gods UA1'!AI98</f>
        <v>-76.100428500097635</v>
      </c>
      <c r="AJ9" s="144">
        <f>'Gods UA1'!AJ98</f>
        <v>-77.816398909536716</v>
      </c>
      <c r="AK9" s="144">
        <f>'Gods UA1'!AK98</f>
        <v>-79.507500182607103</v>
      </c>
      <c r="AL9" s="144">
        <f>'Gods UA1'!AL98</f>
        <v>-81.174092741575038</v>
      </c>
      <c r="AM9" s="144">
        <f>'Gods UA1'!AM98</f>
        <v>-82.816531785195593</v>
      </c>
      <c r="AN9" s="144">
        <f>'Gods UA1'!AN98</f>
        <v>-84.435167364415861</v>
      </c>
      <c r="AO9" s="144">
        <f>'Gods UA1'!AO98</f>
        <v>-86.030344456980757</v>
      </c>
      <c r="AP9" s="144">
        <f>'Gods UA1'!AP98</f>
        <v>-87.602403040957768</v>
      </c>
    </row>
    <row r="10" spans="1:42" s="1" customFormat="1" x14ac:dyDescent="0.25">
      <c r="A10" s="3" t="s">
        <v>342</v>
      </c>
      <c r="B10" s="144">
        <f>SUM(B7:B9)</f>
        <v>9.3796420764049273</v>
      </c>
      <c r="C10" s="144">
        <f t="shared" ref="C10:AP10" si="1">SUM(C7:C9)</f>
        <v>9.6978760499416516</v>
      </c>
      <c r="D10" s="144">
        <f t="shared" si="1"/>
        <v>18.358883500689871</v>
      </c>
      <c r="E10" s="144">
        <f t="shared" si="1"/>
        <v>19.463912239423784</v>
      </c>
      <c r="F10" s="144">
        <f t="shared" si="1"/>
        <v>19.613087325289737</v>
      </c>
      <c r="G10" s="144">
        <f t="shared" si="1"/>
        <v>18.86871137534682</v>
      </c>
      <c r="H10" s="144">
        <f t="shared" si="1"/>
        <v>18.103484461329927</v>
      </c>
      <c r="I10" s="144">
        <f t="shared" si="1"/>
        <v>25.178531369175783</v>
      </c>
      <c r="J10" s="144">
        <f t="shared" si="1"/>
        <v>24.375206531196238</v>
      </c>
      <c r="K10" s="144">
        <f t="shared" si="1"/>
        <v>23.553957534156147</v>
      </c>
      <c r="L10" s="144">
        <f t="shared" si="1"/>
        <v>-48.175969743054402</v>
      </c>
      <c r="M10" s="144">
        <f t="shared" si="1"/>
        <v>-49.029724991566951</v>
      </c>
      <c r="N10" s="144">
        <f t="shared" si="1"/>
        <v>-49.898140594488744</v>
      </c>
      <c r="O10" s="144">
        <f t="shared" si="1"/>
        <v>13.160210231800455</v>
      </c>
      <c r="P10" s="144">
        <f t="shared" si="1"/>
        <v>12.265471950624523</v>
      </c>
      <c r="Q10" s="144">
        <f t="shared" si="1"/>
        <v>11.358999502772512</v>
      </c>
      <c r="R10" s="144">
        <f t="shared" si="1"/>
        <v>10.441698145494044</v>
      </c>
      <c r="S10" s="144">
        <f t="shared" si="1"/>
        <v>9.5144397374250502</v>
      </c>
      <c r="T10" s="144">
        <f t="shared" si="1"/>
        <v>8.5780637078116371</v>
      </c>
      <c r="U10" s="144">
        <f t="shared" si="1"/>
        <v>7.633378003868458</v>
      </c>
      <c r="V10" s="144">
        <f t="shared" si="1"/>
        <v>6.6811600164896632</v>
      </c>
      <c r="W10" s="144">
        <f t="shared" si="1"/>
        <v>5.7221574845452565</v>
      </c>
      <c r="X10" s="144">
        <f t="shared" si="1"/>
        <v>4.7570893780105052</v>
      </c>
      <c r="Y10" s="144">
        <f t="shared" si="1"/>
        <v>3.7866467601879563</v>
      </c>
      <c r="Z10" s="144">
        <f t="shared" si="1"/>
        <v>2.8114936292933663</v>
      </c>
      <c r="AA10" s="144">
        <f t="shared" si="1"/>
        <v>1.8322677396866638</v>
      </c>
      <c r="AB10" s="144">
        <f t="shared" si="1"/>
        <v>0.8495814030376394</v>
      </c>
      <c r="AC10" s="144">
        <f t="shared" si="1"/>
        <v>-0.13597773027534288</v>
      </c>
      <c r="AD10" s="144">
        <f t="shared" si="1"/>
        <v>-1.123845909229459</v>
      </c>
      <c r="AE10" s="144">
        <f t="shared" si="1"/>
        <v>-2.113482539373706</v>
      </c>
      <c r="AF10" s="144">
        <f t="shared" si="1"/>
        <v>-3.1043694588822603</v>
      </c>
      <c r="AG10" s="144">
        <f t="shared" si="1"/>
        <v>-4.0960102331251278</v>
      </c>
      <c r="AH10" s="144">
        <f t="shared" si="1"/>
        <v>-5.0879294674336819</v>
      </c>
      <c r="AI10" s="144">
        <f t="shared" si="1"/>
        <v>-6.0796721377352867</v>
      </c>
      <c r="AJ10" s="144">
        <f t="shared" si="1"/>
        <v>-7.0708029387299547</v>
      </c>
      <c r="AK10" s="144">
        <f t="shared" si="1"/>
        <v>-8.0609056492801159</v>
      </c>
      <c r="AL10" s="144">
        <f t="shared" si="1"/>
        <v>-9.0495825146842321</v>
      </c>
      <c r="AM10" s="144">
        <f t="shared" si="1"/>
        <v>-10.036453645504054</v>
      </c>
      <c r="AN10" s="144">
        <f t="shared" si="1"/>
        <v>-11.021156432617147</v>
      </c>
      <c r="AO10" s="144">
        <f t="shared" si="1"/>
        <v>-12.00334497816462</v>
      </c>
      <c r="AP10" s="144">
        <f t="shared" si="1"/>
        <v>-12.999764637931136</v>
      </c>
    </row>
    <row r="11" spans="1:42" s="11" customFormat="1" x14ac:dyDescent="0.25">
      <c r="A11" s="18"/>
    </row>
    <row r="44" spans="1:7" x14ac:dyDescent="0.25">
      <c r="A44" t="s">
        <v>555</v>
      </c>
    </row>
    <row r="45" spans="1:7" x14ac:dyDescent="0.25">
      <c r="D45" s="20"/>
      <c r="E45" s="20"/>
      <c r="F45" s="20"/>
      <c r="G45" s="20"/>
    </row>
    <row r="48" spans="1:7" ht="15.75" x14ac:dyDescent="0.25">
      <c r="A48" s="10" t="s">
        <v>267</v>
      </c>
    </row>
    <row r="49" spans="1:5" x14ac:dyDescent="0.25">
      <c r="A49" s="43" t="s">
        <v>377</v>
      </c>
    </row>
    <row r="51" spans="1:5" x14ac:dyDescent="0.25">
      <c r="A51" s="39" t="s">
        <v>241</v>
      </c>
      <c r="B51" s="227">
        <f>Diskontering!B88</f>
        <v>102.12781492761599</v>
      </c>
      <c r="E51" s="227"/>
    </row>
    <row r="52" spans="1:5" x14ac:dyDescent="0.25">
      <c r="B52" s="227"/>
      <c r="E52" s="227"/>
    </row>
    <row r="53" spans="1:5" x14ac:dyDescent="0.25">
      <c r="A53" s="39" t="s">
        <v>530</v>
      </c>
      <c r="B53" s="227"/>
      <c r="E53" s="227"/>
    </row>
    <row r="54" spans="1:5" x14ac:dyDescent="0.25">
      <c r="A54" t="s">
        <v>505</v>
      </c>
      <c r="B54" s="612">
        <f>'Person UA1'!B174</f>
        <v>-1.1586545258921117</v>
      </c>
      <c r="E54" s="227"/>
    </row>
    <row r="55" spans="1:5" x14ac:dyDescent="0.25">
      <c r="A55" t="s">
        <v>506</v>
      </c>
      <c r="B55" s="227">
        <f>'Person UA1'!B175</f>
        <v>-2.130122942556941</v>
      </c>
      <c r="E55" s="227"/>
    </row>
    <row r="56" spans="1:5" x14ac:dyDescent="0.25">
      <c r="A56" t="s">
        <v>52</v>
      </c>
      <c r="B56" s="227">
        <f>'Person UA1'!B176</f>
        <v>0</v>
      </c>
      <c r="E56" s="227"/>
    </row>
    <row r="57" spans="1:5" x14ac:dyDescent="0.25">
      <c r="A57" t="s">
        <v>556</v>
      </c>
      <c r="B57" s="227">
        <f>'Gods UA1'!B106</f>
        <v>-80.722947894961209</v>
      </c>
      <c r="E57" s="227"/>
    </row>
    <row r="58" spans="1:5" x14ac:dyDescent="0.25">
      <c r="A58" t="s">
        <v>276</v>
      </c>
      <c r="B58" s="197">
        <f>'Gods UA1'!B107</f>
        <v>-0.43972940600641897</v>
      </c>
      <c r="E58" s="227"/>
    </row>
    <row r="59" spans="1:5" x14ac:dyDescent="0.25">
      <c r="B59" s="227"/>
      <c r="E59" s="227"/>
    </row>
    <row r="60" spans="1:5" x14ac:dyDescent="0.25">
      <c r="A60" s="39" t="s">
        <v>531</v>
      </c>
      <c r="B60" s="227"/>
      <c r="E60" s="227"/>
    </row>
    <row r="61" spans="1:5" x14ac:dyDescent="0.25">
      <c r="A61" t="s">
        <v>486</v>
      </c>
      <c r="B61" s="227">
        <f>'Person UA1'!B179</f>
        <v>-2.329557054409424</v>
      </c>
      <c r="E61" s="227"/>
    </row>
    <row r="62" spans="1:5" x14ac:dyDescent="0.25">
      <c r="A62" t="s">
        <v>557</v>
      </c>
      <c r="B62" s="227">
        <f>'Person UA1'!B180</f>
        <v>-23.711071423339384</v>
      </c>
      <c r="E62" s="227"/>
    </row>
    <row r="63" spans="1:5" x14ac:dyDescent="0.25">
      <c r="B63" s="227"/>
      <c r="E63" s="227"/>
    </row>
    <row r="64" spans="1:5" x14ac:dyDescent="0.25">
      <c r="A64" s="39" t="s">
        <v>335</v>
      </c>
      <c r="B64" s="227"/>
      <c r="E64" s="227"/>
    </row>
    <row r="65" spans="1:5" x14ac:dyDescent="0.25">
      <c r="A65" t="s">
        <v>532</v>
      </c>
      <c r="B65" s="197">
        <f>'Person UA1'!B183</f>
        <v>1.8042294216084951</v>
      </c>
      <c r="E65" s="227"/>
    </row>
    <row r="66" spans="1:5" x14ac:dyDescent="0.25">
      <c r="A66" t="s">
        <v>111</v>
      </c>
      <c r="B66" s="612">
        <f>'Gods UA1'!B110</f>
        <v>-1.2319567046930139E-2</v>
      </c>
      <c r="E66" s="227"/>
    </row>
    <row r="67" spans="1:5" x14ac:dyDescent="0.25">
      <c r="B67" s="227"/>
      <c r="E67" s="227"/>
    </row>
    <row r="68" spans="1:5" x14ac:dyDescent="0.25">
      <c r="A68" s="39" t="s">
        <v>365</v>
      </c>
      <c r="B68" s="227"/>
      <c r="E68" s="227"/>
    </row>
    <row r="69" spans="1:5" x14ac:dyDescent="0.25">
      <c r="A69" t="s">
        <v>533</v>
      </c>
      <c r="B69" s="227">
        <f>'Person UA1'!B186</f>
        <v>0</v>
      </c>
      <c r="E69" s="227"/>
    </row>
    <row r="70" spans="1:5" x14ac:dyDescent="0.25">
      <c r="A70" t="s">
        <v>366</v>
      </c>
      <c r="B70" s="613">
        <f>'Gods UA1'!B113</f>
        <v>0</v>
      </c>
      <c r="E70" s="227"/>
    </row>
    <row r="71" spans="1:5" x14ac:dyDescent="0.25">
      <c r="B71" s="227"/>
      <c r="E71" s="227"/>
    </row>
    <row r="72" spans="1:5" x14ac:dyDescent="0.25">
      <c r="A72" s="192" t="s">
        <v>534</v>
      </c>
      <c r="B72" s="257">
        <f>SUM(B51:B70)</f>
        <v>-6.5723584649879374</v>
      </c>
      <c r="D72" s="227"/>
      <c r="E72" s="25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188"/>
  <sheetViews>
    <sheetView topLeftCell="D1" zoomScale="98" zoomScaleNormal="98" workbookViewId="0">
      <selection activeCell="J11" sqref="J11"/>
    </sheetView>
  </sheetViews>
  <sheetFormatPr defaultRowHeight="15" x14ac:dyDescent="0.25"/>
  <cols>
    <col min="1" max="1" width="29.5703125" customWidth="1"/>
    <col min="2" max="2" width="14" bestFit="1" customWidth="1"/>
    <col min="3" max="3" width="21.85546875" customWidth="1"/>
    <col min="4" max="4" width="39.85546875" customWidth="1"/>
    <col min="5" max="5" width="13.28515625" customWidth="1"/>
    <col min="6" max="6" width="20.85546875" customWidth="1"/>
    <col min="7" max="7" width="30" customWidth="1"/>
    <col min="8" max="8" width="13.85546875" customWidth="1"/>
    <col min="9" max="9" width="10.7109375" customWidth="1"/>
    <col min="10" max="10" width="32.7109375" customWidth="1"/>
    <col min="11" max="11" width="16.5703125" customWidth="1"/>
    <col min="12" max="12" width="15" bestFit="1" customWidth="1"/>
    <col min="13" max="13" width="10.42578125" customWidth="1"/>
    <col min="14" max="15" width="15" bestFit="1" customWidth="1"/>
    <col min="16" max="16" width="13.5703125" customWidth="1"/>
    <col min="17" max="17" width="15" bestFit="1" customWidth="1"/>
    <col min="18" max="18" width="10.42578125" customWidth="1"/>
    <col min="19" max="19" width="15" bestFit="1" customWidth="1"/>
    <col min="20" max="20" width="10.85546875" customWidth="1"/>
    <col min="21" max="21" width="10.140625" customWidth="1"/>
    <col min="22" max="22" width="11.140625" customWidth="1"/>
    <col min="23" max="23" width="11" customWidth="1"/>
    <col min="24" max="25" width="15" bestFit="1" customWidth="1"/>
    <col min="26" max="26" width="10.42578125" customWidth="1"/>
    <col min="27" max="27" width="11.28515625" customWidth="1"/>
    <col min="28" max="28" width="10.28515625" customWidth="1"/>
    <col min="29" max="29" width="11.140625" customWidth="1"/>
    <col min="30" max="30" width="10.28515625" customWidth="1"/>
    <col min="31" max="32" width="10.85546875" customWidth="1"/>
    <col min="33" max="33" width="12.7109375" bestFit="1" customWidth="1"/>
    <col min="34" max="34" width="27.42578125" customWidth="1"/>
    <col min="35" max="35" width="10.5703125" customWidth="1"/>
    <col min="36" max="36" width="12.7109375" customWidth="1"/>
    <col min="37" max="38" width="15" bestFit="1" customWidth="1"/>
    <col min="39" max="39" width="12.7109375" bestFit="1" customWidth="1"/>
    <col min="40" max="41" width="15" bestFit="1" customWidth="1"/>
    <col min="42" max="42" width="10.85546875" customWidth="1"/>
    <col min="46" max="46" width="10.5703125" bestFit="1" customWidth="1"/>
  </cols>
  <sheetData>
    <row r="1" spans="1:14" ht="26.25" x14ac:dyDescent="0.4">
      <c r="A1" s="166" t="s">
        <v>562</v>
      </c>
    </row>
    <row r="2" spans="1:14" x14ac:dyDescent="0.25">
      <c r="F2" s="230" t="s">
        <v>559</v>
      </c>
    </row>
    <row r="3" spans="1:14" ht="15.75" x14ac:dyDescent="0.25">
      <c r="A3" s="171" t="s">
        <v>383</v>
      </c>
      <c r="F3" s="230" t="s">
        <v>560</v>
      </c>
    </row>
    <row r="4" spans="1:14" x14ac:dyDescent="0.25">
      <c r="F4" s="230" t="s">
        <v>561</v>
      </c>
    </row>
    <row r="5" spans="1:14" x14ac:dyDescent="0.25">
      <c r="A5" t="s">
        <v>384</v>
      </c>
      <c r="B5" s="488">
        <v>5000</v>
      </c>
      <c r="C5" s="172" t="s">
        <v>385</v>
      </c>
      <c r="D5" s="489"/>
      <c r="F5" s="230" t="s">
        <v>923</v>
      </c>
    </row>
    <row r="6" spans="1:14" x14ac:dyDescent="0.25">
      <c r="D6" s="230"/>
      <c r="F6" s="230" t="s">
        <v>565</v>
      </c>
    </row>
    <row r="7" spans="1:14" x14ac:dyDescent="0.25">
      <c r="A7" t="s">
        <v>6</v>
      </c>
      <c r="B7" s="499">
        <v>40</v>
      </c>
      <c r="C7" s="3" t="s">
        <v>536</v>
      </c>
      <c r="D7" s="230"/>
      <c r="F7" s="230" t="s">
        <v>569</v>
      </c>
    </row>
    <row r="8" spans="1:14" x14ac:dyDescent="0.25">
      <c r="A8" t="s">
        <v>11</v>
      </c>
      <c r="B8" s="499">
        <v>10</v>
      </c>
      <c r="C8" s="3" t="s">
        <v>536</v>
      </c>
      <c r="D8" s="230"/>
      <c r="M8" s="167"/>
      <c r="N8" s="168"/>
    </row>
    <row r="9" spans="1:14" x14ac:dyDescent="0.25">
      <c r="A9" t="s">
        <v>15</v>
      </c>
      <c r="B9" s="499">
        <v>40</v>
      </c>
      <c r="C9" s="3" t="s">
        <v>536</v>
      </c>
      <c r="D9" s="230"/>
    </row>
    <row r="10" spans="1:14" x14ac:dyDescent="0.25">
      <c r="A10" t="s">
        <v>22</v>
      </c>
      <c r="B10" s="499">
        <v>10</v>
      </c>
      <c r="C10" s="3" t="s">
        <v>536</v>
      </c>
      <c r="D10" s="230"/>
    </row>
    <row r="11" spans="1:14" x14ac:dyDescent="0.25">
      <c r="B11" s="499">
        <f>SUM(B7:B10)</f>
        <v>100</v>
      </c>
      <c r="C11" s="229" t="s">
        <v>536</v>
      </c>
      <c r="D11" s="230"/>
    </row>
    <row r="13" spans="1:14" x14ac:dyDescent="0.25">
      <c r="A13" s="39" t="s">
        <v>386</v>
      </c>
      <c r="F13" s="251"/>
      <c r="G13" s="251"/>
      <c r="H13" s="2"/>
      <c r="I13" s="2"/>
      <c r="J13" s="2"/>
      <c r="K13" s="2"/>
      <c r="L13" s="2"/>
      <c r="M13" s="2"/>
      <c r="N13" s="2"/>
    </row>
    <row r="14" spans="1:14" x14ac:dyDescent="0.25">
      <c r="A14" s="39" t="s">
        <v>387</v>
      </c>
      <c r="F14" s="251"/>
      <c r="G14" s="251"/>
      <c r="H14" s="2"/>
      <c r="I14" s="2"/>
      <c r="J14" s="2"/>
      <c r="K14" s="2"/>
      <c r="L14" s="2"/>
      <c r="M14" s="2"/>
      <c r="N14" s="2"/>
    </row>
    <row r="15" spans="1:14" x14ac:dyDescent="0.25">
      <c r="F15" s="251"/>
      <c r="G15" s="251"/>
      <c r="H15" s="2"/>
      <c r="I15" s="2"/>
      <c r="J15" s="2"/>
      <c r="K15" s="2"/>
      <c r="L15" s="2"/>
      <c r="M15" s="2"/>
      <c r="N15" s="2"/>
    </row>
    <row r="16" spans="1:14" x14ac:dyDescent="0.25">
      <c r="A16" s="16"/>
      <c r="F16" s="251"/>
      <c r="G16" s="251"/>
      <c r="H16" s="2"/>
      <c r="I16" s="2"/>
      <c r="J16" s="2"/>
      <c r="K16" s="2"/>
      <c r="L16" s="2"/>
      <c r="M16" s="2"/>
      <c r="N16" s="2"/>
    </row>
    <row r="17" spans="4:45" x14ac:dyDescent="0.25">
      <c r="F17" s="251"/>
      <c r="G17" s="251"/>
      <c r="H17" s="2"/>
      <c r="I17" s="2"/>
      <c r="J17" s="2"/>
      <c r="K17" s="2"/>
      <c r="L17" s="2"/>
      <c r="M17" s="2"/>
      <c r="N17" s="2"/>
      <c r="AI17" s="1"/>
      <c r="AJ17" s="1"/>
    </row>
    <row r="18" spans="4:45" x14ac:dyDescent="0.25">
      <c r="M18" s="2"/>
      <c r="AI18" s="1"/>
      <c r="AJ18" s="1"/>
    </row>
    <row r="20" spans="4:45" x14ac:dyDescent="0.25">
      <c r="D20" t="s">
        <v>388</v>
      </c>
    </row>
    <row r="21" spans="4:45" x14ac:dyDescent="0.25">
      <c r="D21" t="s">
        <v>389</v>
      </c>
    </row>
    <row r="22" spans="4:45" ht="18.75" x14ac:dyDescent="0.3">
      <c r="G22" s="28" t="s">
        <v>332</v>
      </c>
    </row>
    <row r="24" spans="4:45" x14ac:dyDescent="0.25">
      <c r="G24" s="231"/>
      <c r="H24" s="231"/>
      <c r="I24" s="231"/>
      <c r="J24" s="231"/>
      <c r="K24" s="231"/>
      <c r="L24" s="231"/>
      <c r="M24" s="231"/>
    </row>
    <row r="25" spans="4:45" x14ac:dyDescent="0.25">
      <c r="G25" s="232" t="s">
        <v>390</v>
      </c>
      <c r="H25" s="231"/>
      <c r="I25" s="231"/>
      <c r="J25" s="231"/>
      <c r="K25" s="231"/>
      <c r="L25" s="231"/>
      <c r="M25" s="231"/>
      <c r="AC25" s="146" t="s">
        <v>715</v>
      </c>
      <c r="AD25" s="146"/>
      <c r="AE25" s="146"/>
    </row>
    <row r="26" spans="4:45" x14ac:dyDescent="0.25">
      <c r="G26" s="231"/>
      <c r="H26" s="261">
        <v>10</v>
      </c>
      <c r="I26" s="231" t="s">
        <v>330</v>
      </c>
      <c r="J26" s="234" t="s">
        <v>391</v>
      </c>
      <c r="K26" s="231"/>
      <c r="L26" s="231"/>
      <c r="M26" s="231"/>
      <c r="X26" s="174" t="s">
        <v>392</v>
      </c>
      <c r="Y26" s="174"/>
      <c r="Z26" s="174"/>
      <c r="AA26" s="174"/>
      <c r="AB26" s="174"/>
      <c r="AC26" s="174"/>
      <c r="AD26" s="174"/>
      <c r="AE26" s="174"/>
      <c r="AH26" s="175" t="s">
        <v>393</v>
      </c>
      <c r="AI26" s="175"/>
      <c r="AJ26" s="175"/>
      <c r="AK26" s="175"/>
      <c r="AL26" s="175"/>
      <c r="AM26" s="175"/>
      <c r="AN26" s="175"/>
      <c r="AO26" s="175"/>
    </row>
    <row r="27" spans="4:45" x14ac:dyDescent="0.25">
      <c r="G27" s="231"/>
      <c r="H27" s="235" t="s">
        <v>394</v>
      </c>
      <c r="I27" s="231"/>
      <c r="J27" s="231"/>
      <c r="K27" s="231"/>
      <c r="L27" s="231"/>
      <c r="M27" s="231"/>
      <c r="P27" s="176" t="s">
        <v>395</v>
      </c>
      <c r="Q27" s="176"/>
      <c r="R27" s="176"/>
      <c r="S27" s="176"/>
      <c r="T27" s="177" t="s">
        <v>396</v>
      </c>
      <c r="U27" s="177"/>
      <c r="V27" s="177"/>
      <c r="W27" s="177"/>
      <c r="X27" t="s">
        <v>397</v>
      </c>
      <c r="AB27" t="s">
        <v>397</v>
      </c>
      <c r="AH27" t="s">
        <v>397</v>
      </c>
      <c r="AL27" t="s">
        <v>397</v>
      </c>
    </row>
    <row r="28" spans="4:45" ht="32.25" customHeight="1" x14ac:dyDescent="0.25">
      <c r="D28" t="s">
        <v>398</v>
      </c>
      <c r="G28" s="231"/>
      <c r="H28" s="231"/>
      <c r="I28" s="231"/>
      <c r="J28" s="231"/>
      <c r="K28" s="231"/>
      <c r="L28" s="236" t="s">
        <v>258</v>
      </c>
      <c r="M28" s="236" t="s">
        <v>318</v>
      </c>
      <c r="P28" s="178" t="s">
        <v>399</v>
      </c>
      <c r="X28" s="179" t="s">
        <v>400</v>
      </c>
      <c r="Y28" s="180"/>
      <c r="Z28" s="180"/>
      <c r="AA28" s="180"/>
      <c r="AB28" s="181" t="s">
        <v>401</v>
      </c>
      <c r="AC28" s="182"/>
      <c r="AD28" s="182"/>
      <c r="AE28" s="182"/>
      <c r="AF28" s="176"/>
      <c r="AG28" s="176"/>
      <c r="AH28" s="183" t="s">
        <v>400</v>
      </c>
      <c r="AI28" s="184"/>
      <c r="AJ28" s="184"/>
      <c r="AK28" s="184"/>
      <c r="AL28" s="185" t="s">
        <v>401</v>
      </c>
      <c r="AM28" s="186"/>
      <c r="AN28" s="186"/>
      <c r="AO28" s="186"/>
    </row>
    <row r="29" spans="4:45" ht="85.5" customHeight="1" x14ac:dyDescent="0.25">
      <c r="G29" s="231"/>
      <c r="H29" s="237" t="s">
        <v>402</v>
      </c>
      <c r="I29" s="231"/>
      <c r="J29" s="238" t="s">
        <v>403</v>
      </c>
      <c r="K29" s="238" t="s">
        <v>404</v>
      </c>
      <c r="L29" s="617" t="s">
        <v>881</v>
      </c>
      <c r="M29" s="237" t="s">
        <v>405</v>
      </c>
      <c r="N29" s="167" t="s">
        <v>406</v>
      </c>
      <c r="O29" s="167" t="s">
        <v>407</v>
      </c>
      <c r="P29" s="167" t="s">
        <v>408</v>
      </c>
      <c r="Q29" s="167" t="s">
        <v>409</v>
      </c>
      <c r="R29" s="167" t="s">
        <v>410</v>
      </c>
      <c r="S29" s="167" t="s">
        <v>411</v>
      </c>
      <c r="T29" s="167" t="s">
        <v>412</v>
      </c>
      <c r="U29" s="167" t="s">
        <v>413</v>
      </c>
      <c r="V29" s="167" t="s">
        <v>414</v>
      </c>
      <c r="W29" s="167" t="s">
        <v>415</v>
      </c>
      <c r="X29" s="167" t="s">
        <v>416</v>
      </c>
      <c r="Y29" s="167" t="s">
        <v>417</v>
      </c>
      <c r="Z29" s="167" t="s">
        <v>418</v>
      </c>
      <c r="AA29" s="167" t="s">
        <v>419</v>
      </c>
      <c r="AB29" s="167" t="s">
        <v>420</v>
      </c>
      <c r="AC29" s="167" t="s">
        <v>421</v>
      </c>
      <c r="AD29" s="167" t="s">
        <v>422</v>
      </c>
      <c r="AE29" s="167" t="s">
        <v>423</v>
      </c>
      <c r="AF29" s="167" t="s">
        <v>424</v>
      </c>
      <c r="AG29" s="167" t="s">
        <v>425</v>
      </c>
      <c r="AH29" s="167" t="s">
        <v>426</v>
      </c>
      <c r="AI29" s="167" t="s">
        <v>427</v>
      </c>
      <c r="AJ29" s="167" t="s">
        <v>428</v>
      </c>
      <c r="AK29" s="167" t="s">
        <v>429</v>
      </c>
      <c r="AL29" s="167" t="s">
        <v>430</v>
      </c>
      <c r="AM29" s="167" t="s">
        <v>431</v>
      </c>
      <c r="AN29" s="167" t="s">
        <v>432</v>
      </c>
      <c r="AO29" s="167" t="s">
        <v>433</v>
      </c>
      <c r="AQ29" t="s">
        <v>434</v>
      </c>
    </row>
    <row r="30" spans="4:45" x14ac:dyDescent="0.25">
      <c r="G30" s="265" t="s">
        <v>435</v>
      </c>
      <c r="H30" s="500">
        <v>50</v>
      </c>
      <c r="I30" s="266" t="s">
        <v>1</v>
      </c>
      <c r="J30" s="266"/>
      <c r="K30" s="266"/>
      <c r="L30" s="266"/>
      <c r="M30" s="267" t="s">
        <v>564</v>
      </c>
      <c r="N30" s="266"/>
      <c r="O30" s="266"/>
      <c r="P30" s="268">
        <f>IF(M32=0,$B$5*B7/100*H30/100,0)</f>
        <v>1000</v>
      </c>
      <c r="Q30" s="268">
        <f>IF(M32=0,B5*B8/100*H30/100,0)</f>
        <v>250</v>
      </c>
      <c r="R30" s="268">
        <f>IF(M32=0,B$5*B$9/100*H30/100,0)</f>
        <v>1000</v>
      </c>
      <c r="S30" s="268">
        <f>IF(M32=0,B5*B10/100*H30/100,0)</f>
        <v>250</v>
      </c>
      <c r="T30" s="20"/>
      <c r="U30" s="20"/>
      <c r="V30" s="20"/>
      <c r="W30" s="20"/>
      <c r="X30" s="51"/>
      <c r="Y30" s="51"/>
      <c r="Z30" s="51"/>
      <c r="AA30" s="51"/>
      <c r="AB30" s="20"/>
      <c r="AC30" s="20"/>
      <c r="AD30" s="20"/>
      <c r="AE30" s="20"/>
      <c r="AH30" s="20"/>
      <c r="AI30" s="20"/>
      <c r="AJ30" s="20"/>
      <c r="AK30" s="20"/>
      <c r="AL30" s="20"/>
      <c r="AM30" s="20"/>
      <c r="AN30" s="20"/>
      <c r="AO30" s="20"/>
      <c r="AQ30" s="187" t="s">
        <v>436</v>
      </c>
      <c r="AS30" s="1" t="s">
        <v>437</v>
      </c>
    </row>
    <row r="31" spans="4:45" x14ac:dyDescent="0.25">
      <c r="G31" s="231"/>
      <c r="H31" s="231" t="s">
        <v>438</v>
      </c>
      <c r="I31" s="231"/>
      <c r="J31" s="231"/>
      <c r="K31" s="235" t="s">
        <v>439</v>
      </c>
      <c r="L31" s="231"/>
      <c r="M31" s="231"/>
      <c r="N31" s="1"/>
      <c r="O31" s="1"/>
      <c r="P31" s="1"/>
      <c r="Q31" s="1"/>
      <c r="R31" s="1"/>
      <c r="S31" s="1"/>
      <c r="X31" s="188"/>
      <c r="Y31" s="188"/>
      <c r="Z31" s="188"/>
      <c r="AA31" s="188"/>
      <c r="AQ31" t="s">
        <v>440</v>
      </c>
      <c r="AS31" s="1">
        <f>P30</f>
        <v>1000</v>
      </c>
    </row>
    <row r="32" spans="4:45" x14ac:dyDescent="0.25">
      <c r="D32" t="s">
        <v>441</v>
      </c>
      <c r="G32" s="231" t="s">
        <v>879</v>
      </c>
      <c r="H32" s="261">
        <v>100</v>
      </c>
      <c r="I32" s="231" t="s">
        <v>1</v>
      </c>
      <c r="J32" s="371">
        <v>60</v>
      </c>
      <c r="K32" s="371">
        <v>-40</v>
      </c>
      <c r="L32" s="371">
        <v>0.5</v>
      </c>
      <c r="M32" s="83">
        <v>0</v>
      </c>
      <c r="N32" s="61">
        <f>ABS(K32)/J32*100</f>
        <v>66.666666666666657</v>
      </c>
      <c r="O32" s="61">
        <f>(M32-L32)/L32*100</f>
        <v>-100</v>
      </c>
      <c r="P32" s="151">
        <f>B$5*B$7/100*H32/100</f>
        <v>2000</v>
      </c>
      <c r="Q32" s="151">
        <f>B$5*B$8/100*H32/100</f>
        <v>500</v>
      </c>
      <c r="R32" s="151">
        <f>B$5*B$9/100*H32/100</f>
        <v>2000</v>
      </c>
      <c r="S32" s="151">
        <f>B$5*B$10/100*H32/100</f>
        <v>500</v>
      </c>
      <c r="T32" s="51">
        <f>IF($M32&gt;0,P32*($N32/100*'Kalkylvärden 1'!$B$19+O32/100*'Kalkylvärden 1'!$C$19),-P32)</f>
        <v>-2000</v>
      </c>
      <c r="U32" s="51">
        <f>IF($M32&gt;0,Q32*($N32/100*'Kalkylvärden 1'!B20+$O32/100*'Kalkylvärden 1'!C20),-Q32)</f>
        <v>-500</v>
      </c>
      <c r="V32" s="51">
        <f>IF($M32&gt;0,R32*($N32/100*'Kalkylvärden 1'!B21+$O32/100*'Kalkylvärden 1'!C21),-R32)</f>
        <v>-2000</v>
      </c>
      <c r="W32" s="51">
        <f>IF(M32&gt;0,S32*($N32/100*'Kalkylvärden 1'!B22+$O32/100*'Kalkylvärden 1'!C22),-S32)</f>
        <v>-500</v>
      </c>
      <c r="X32" s="51">
        <f>(P32+T32)*$K32*'Kalkylvärden 1'!$C$31/60</f>
        <v>0</v>
      </c>
      <c r="Y32" s="51">
        <f>(Q32+U32)*$K32*'Kalkylvärden 1'!$O$31/60</f>
        <v>0</v>
      </c>
      <c r="Z32" s="51">
        <f>(R32+V32)*$K32*'Kalkylvärden 1'!$B$31/60</f>
        <v>0</v>
      </c>
      <c r="AA32" s="51">
        <f>(S32+W32)*$K32*'Kalkylvärden 1'!$P$31/60</f>
        <v>0</v>
      </c>
      <c r="AB32" s="188">
        <f>ABS(T32)*$K32*'Kalkylvärden 1'!$C$31/(60*2)</f>
        <v>-56666.666666666664</v>
      </c>
      <c r="AC32" s="188">
        <f>ABS(U32)*$K32*'Kalkylvärden 1'!$O$31/(60*2)</f>
        <v>-48000</v>
      </c>
      <c r="AD32" s="188">
        <f>ABS(V32)*$K32*'Kalkylvärden 1'!$B$31/(60*2)</f>
        <v>-43733.333333333336</v>
      </c>
      <c r="AE32" s="188">
        <f>ABS(W32)*$K32*'Kalkylvärden 1'!$P$31/(60*2)</f>
        <v>-48000</v>
      </c>
      <c r="AF32">
        <f>60/L32</f>
        <v>120</v>
      </c>
      <c r="AG32" t="e">
        <f>60/M32</f>
        <v>#DIV/0!</v>
      </c>
      <c r="AH32" s="188" t="e">
        <f>(P32+T32)*($AF32-$AG32)*(('Kalkylvärden 1'!$G$54*AG32+'Kalkylvärden 1'!$H$54)+('Kalkylvärden 1'!$G$54*'Person UA1'!AF32+'Kalkylvärden 1'!$H$54))/2</f>
        <v>#DIV/0!</v>
      </c>
      <c r="AI32" s="188" t="e">
        <f>(Q32+U32)*($AF32-$AG32)*(('Kalkylvärden 1'!$G$56*'Person UA1'!AG32+'Kalkylvärden 1'!$H$56)+('Kalkylvärden 1'!$G$56*$AF32+'Kalkylvärden 1'!$H$56))/2</f>
        <v>#DIV/0!</v>
      </c>
      <c r="AJ32" s="188" t="e">
        <f>(R32+V32)*($AF32-$AG32)*(('Kalkylvärden 1'!$G$53*$AG32+'Kalkylvärden 1'!H53)+('Kalkylvärden 1'!$G$53*$AF32+'Kalkylvärden 1'!$H$53))/2</f>
        <v>#DIV/0!</v>
      </c>
      <c r="AK32" s="188" t="e">
        <f>(S32+W32)*($AF32-$AG32)*(('Kalkylvärden 1'!$G$55*$AG32+'Kalkylvärden 1'!$H$55)+('Kalkylvärden 1'!$G$55*$AF32+'Kalkylvärden 1'!$H$55))/2</f>
        <v>#DIV/0!</v>
      </c>
      <c r="AL32" s="188" t="e">
        <f>ABS(T32)*($AF32-$AG32)/2*(('Kalkylvärden 1'!G54*$AF32+'Kalkylvärden 1'!H54)+('Kalkylvärden 1'!G54*$AG32+'Kalkylvärden 1'!H54))/2</f>
        <v>#DIV/0!</v>
      </c>
      <c r="AM32" s="188" t="e">
        <f>ABS(U32)*($AF32-$AG32)/2*(('Kalkylvärden 1'!$G$56*$AF32+'Kalkylvärden 1'!$H$56)+('Kalkylvärden 1'!$G$56*$AG32+'Kalkylvärden 1'!$H$56))/2</f>
        <v>#DIV/0!</v>
      </c>
      <c r="AN32" s="188" t="e">
        <f>ABS(V32)*($AF32-$AG32)/2*(('Kalkylvärden 1'!$G$53*$AF32+'Kalkylvärden 1'!$H$53)+('Kalkylvärden 1'!$G$53*$AG32+'Kalkylvärden 1'!$H$53))/2</f>
        <v>#DIV/0!</v>
      </c>
      <c r="AO32" s="188" t="e">
        <f>ABS(W32)*($AF32-$AG32)/2*(('Kalkylvärden 1'!G55*$AF32+'Kalkylvärden 1'!H55)+('Kalkylvärden 1'!G55*$AG32+'Kalkylvärden 1'!H55))/2</f>
        <v>#DIV/0!</v>
      </c>
      <c r="AQ32" t="s">
        <v>442</v>
      </c>
      <c r="AS32" s="1">
        <f>Q30</f>
        <v>250</v>
      </c>
    </row>
    <row r="33" spans="7:46" x14ac:dyDescent="0.25">
      <c r="G33" s="231" t="s">
        <v>880</v>
      </c>
      <c r="H33" s="261"/>
      <c r="I33" s="231" t="s">
        <v>1</v>
      </c>
      <c r="J33" s="371"/>
      <c r="K33" s="371"/>
      <c r="L33" s="371"/>
      <c r="M33" s="83">
        <v>0</v>
      </c>
      <c r="N33" s="61" t="e">
        <f t="shared" ref="N33:N45" si="0">ABS(K33)/J33*100</f>
        <v>#DIV/0!</v>
      </c>
      <c r="O33" s="61" t="e">
        <f t="shared" ref="O33:O45" si="1">(M33-L33)/L33*100</f>
        <v>#DIV/0!</v>
      </c>
      <c r="P33" s="151">
        <f t="shared" ref="P33:P45" si="2">B$5*B$7/100*H33/100</f>
        <v>0</v>
      </c>
      <c r="Q33" s="151">
        <f t="shared" ref="Q33:Q45" si="3">B$5*B$8/100*H33/100</f>
        <v>0</v>
      </c>
      <c r="R33" s="151">
        <f t="shared" ref="R33:R45" si="4">B$5*B$9/100*H33/100</f>
        <v>0</v>
      </c>
      <c r="S33" s="151">
        <f t="shared" ref="S33:S45" si="5">B$5*B$10/100*H33/100</f>
        <v>0</v>
      </c>
      <c r="T33" s="51">
        <f>IF($M33&gt;0,P33*($N33/100*'Kalkylvärden 1'!$B$19+O33/100*'Kalkylvärden 1'!$C$19),-P33)</f>
        <v>0</v>
      </c>
      <c r="U33" s="51">
        <f>IF($M33&gt;0,Q33*($N33/100*'Kalkylvärden 1'!B21+$O33/100*'Kalkylvärden 1'!C21),-Q33)</f>
        <v>0</v>
      </c>
      <c r="V33" s="51">
        <f>IF($M33&gt;0,R33*($N33/100*'Kalkylvärden 1'!B22+$O33/100*'Kalkylvärden 1'!C22),-R33)</f>
        <v>0</v>
      </c>
      <c r="W33" s="51">
        <f>IF(M33&gt;0,S33*($N33/100*'Kalkylvärden 1'!B24+$O33/100*Projektspecifikt!#REF!),-S33)</f>
        <v>0</v>
      </c>
      <c r="X33" s="51">
        <f>(P33+T33)*$K33*'Kalkylvärden 1'!$C$31/60</f>
        <v>0</v>
      </c>
      <c r="Y33" s="51">
        <f>(Q33+U33)*$K33*'Kalkylvärden 1'!$O$31/60</f>
        <v>0</v>
      </c>
      <c r="Z33" s="51">
        <f>(R33+V33)*$K33*'Kalkylvärden 1'!$B$31/60</f>
        <v>0</v>
      </c>
      <c r="AA33" s="51">
        <f>(S33+W33)*$K33*'Kalkylvärden 1'!$P$31/60</f>
        <v>0</v>
      </c>
      <c r="AB33" s="188">
        <f>ABS(T33)*$K33*'Kalkylvärden 1'!$C$31/(60*2)</f>
        <v>0</v>
      </c>
      <c r="AC33" s="188">
        <f>ABS(U33)*$K33*'Kalkylvärden 1'!$O$31/(60*2)</f>
        <v>0</v>
      </c>
      <c r="AD33" s="188">
        <f>ABS(V33)*$K33*'Kalkylvärden 1'!$B$31/(60*2)</f>
        <v>0</v>
      </c>
      <c r="AE33" s="188">
        <f>ABS(W33)*$K33*'Kalkylvärden 1'!$P$31/(60*2)</f>
        <v>0</v>
      </c>
      <c r="AF33" t="e">
        <f t="shared" ref="AF33:AG45" si="6">60/L33</f>
        <v>#DIV/0!</v>
      </c>
      <c r="AG33" t="e">
        <f t="shared" si="6"/>
        <v>#DIV/0!</v>
      </c>
      <c r="AH33" s="188" t="e">
        <f>(P33+T33)*($AF33-$AG33)*(('Kalkylvärden 1'!$G$54*AG33+'Kalkylvärden 1'!$H$54)+('Kalkylvärden 1'!$G$54*'Person UA1'!AF33+'Kalkylvärden 1'!$H$54))/2</f>
        <v>#DIV/0!</v>
      </c>
      <c r="AI33" s="188" t="e">
        <f>(Q33+U33)*($AF33-$AG33)*(('Kalkylvärden 1'!$G$56*'Person UA1'!AG33+'Kalkylvärden 1'!$H$56)+('Kalkylvärden 1'!$G$56*$AF33+'Kalkylvärden 1'!$H$56))/2</f>
        <v>#DIV/0!</v>
      </c>
      <c r="AJ33" s="188" t="e">
        <f>(R33+V33)*($AF33-$AG33)*(('Kalkylvärden 1'!$G$53*$AG33+'Kalkylvärden 1'!H54)+('Kalkylvärden 1'!$G$53*$AF33+'Kalkylvärden 1'!$H$53))/2</f>
        <v>#DIV/0!</v>
      </c>
      <c r="AK33" s="188" t="e">
        <f>(S33+W33)*($AF33-$AG33)*(('Kalkylvärden 1'!$G$55*$AG33+'Kalkylvärden 1'!$H$55)+('Kalkylvärden 1'!$G$55*$AF33+'Kalkylvärden 1'!$H$55))/2</f>
        <v>#DIV/0!</v>
      </c>
      <c r="AL33" s="188" t="e">
        <f>ABS(T33)*($AF33-$AG33)/2*(('Kalkylvärden 1'!G55*$AF33+'Kalkylvärden 1'!H55)+('Kalkylvärden 1'!G55*$AG33+'Kalkylvärden 1'!H55))/2</f>
        <v>#DIV/0!</v>
      </c>
      <c r="AM33" s="188" t="e">
        <f>ABS(U33)*($AF33-$AG33)/2*(('Kalkylvärden 1'!$G$56*$AF33+'Kalkylvärden 1'!$H$56)+('Kalkylvärden 1'!$G$56*$AG33+'Kalkylvärden 1'!$H$56))/2</f>
        <v>#DIV/0!</v>
      </c>
      <c r="AN33" s="188" t="e">
        <f>ABS(V33)*($AF33-$AG33)/2*(('Kalkylvärden 1'!$G$53*$AF33+'Kalkylvärden 1'!$H$53)+('Kalkylvärden 1'!$G$53*$AG33+'Kalkylvärden 1'!$H$53))/2</f>
        <v>#DIV/0!</v>
      </c>
      <c r="AO33" s="188" t="e">
        <f>ABS(W33)*($AF33-$AG33)/2*(('Kalkylvärden 1'!G56*$AF33+'Kalkylvärden 1'!H56)+('Kalkylvärden 1'!G56*$AG33+'Kalkylvärden 1'!H56))/2</f>
        <v>#DIV/0!</v>
      </c>
      <c r="AQ33" t="s">
        <v>443</v>
      </c>
      <c r="AS33" s="1">
        <f>R30</f>
        <v>1000</v>
      </c>
    </row>
    <row r="34" spans="7:46" x14ac:dyDescent="0.25">
      <c r="G34" s="231" t="s">
        <v>444</v>
      </c>
      <c r="H34" s="261"/>
      <c r="I34" s="231" t="s">
        <v>1</v>
      </c>
      <c r="J34" s="371"/>
      <c r="K34" s="371"/>
      <c r="L34" s="371"/>
      <c r="M34" s="83">
        <v>0</v>
      </c>
      <c r="N34" s="61" t="e">
        <f t="shared" si="0"/>
        <v>#DIV/0!</v>
      </c>
      <c r="O34" s="61" t="e">
        <f t="shared" si="1"/>
        <v>#DIV/0!</v>
      </c>
      <c r="P34" s="151">
        <f t="shared" si="2"/>
        <v>0</v>
      </c>
      <c r="Q34" s="151">
        <f t="shared" si="3"/>
        <v>0</v>
      </c>
      <c r="R34" s="151">
        <f t="shared" si="4"/>
        <v>0</v>
      </c>
      <c r="S34" s="151">
        <f t="shared" si="5"/>
        <v>0</v>
      </c>
      <c r="T34" s="51">
        <f>IF($M34&gt;0,P34*($N34/100*'Kalkylvärden 1'!$B$19+O34/100*'Kalkylvärden 1'!$C$19),-P34)</f>
        <v>0</v>
      </c>
      <c r="U34" s="51">
        <f>IF($M34&gt;0,Q34*($N34/100*'Kalkylvärden 1'!B22+$O34/100*'Kalkylvärden 1'!C22),-Q34)</f>
        <v>0</v>
      </c>
      <c r="V34" s="51">
        <f>IF($M34&gt;0,R34*($N34/100*'Kalkylvärden 1'!B24+$O34/100*Projektspecifikt!#REF!),-R34)</f>
        <v>0</v>
      </c>
      <c r="W34" s="51">
        <f>IF(M34&gt;0,S34*($N34/100*'Kalkylvärden 1'!B23+$O34/100*Projektspecifikt!#REF!),-S34)</f>
        <v>0</v>
      </c>
      <c r="X34" s="51">
        <f>(P34+T34)*$K34*'Kalkylvärden 1'!$C$31/60</f>
        <v>0</v>
      </c>
      <c r="Y34" s="51">
        <f>(Q34+U34)*$K34*'Kalkylvärden 1'!$O$31/60</f>
        <v>0</v>
      </c>
      <c r="Z34" s="51">
        <f>(R34+V34)*$K34*'Kalkylvärden 1'!$B$31/60</f>
        <v>0</v>
      </c>
      <c r="AA34" s="51">
        <f>(S34+W34)*$K34*'Kalkylvärden 1'!$P$31/60</f>
        <v>0</v>
      </c>
      <c r="AB34" s="188">
        <f>ABS(T34)*$K34*'Kalkylvärden 1'!$C$31/(60*2)</f>
        <v>0</v>
      </c>
      <c r="AC34" s="188">
        <f>ABS(U34)*$K34*'Kalkylvärden 1'!$O$31/(60*2)</f>
        <v>0</v>
      </c>
      <c r="AD34" s="188">
        <f>ABS(V34)*$K34*'Kalkylvärden 1'!$B$31/(60*2)</f>
        <v>0</v>
      </c>
      <c r="AE34" s="188">
        <f>ABS(W34)*$K34*'Kalkylvärden 1'!$P$31/(60*2)</f>
        <v>0</v>
      </c>
      <c r="AF34" t="e">
        <f t="shared" si="6"/>
        <v>#DIV/0!</v>
      </c>
      <c r="AG34" t="e">
        <f t="shared" si="6"/>
        <v>#DIV/0!</v>
      </c>
      <c r="AH34" s="188" t="e">
        <f>(P34+T34)*($AF34-$AG34)*(('Kalkylvärden 1'!$G$54*AG34+'Kalkylvärden 1'!$H$54)+('Kalkylvärden 1'!$G$54*'Person UA1'!AF34+'Kalkylvärden 1'!$H$54))/2</f>
        <v>#DIV/0!</v>
      </c>
      <c r="AI34" s="188" t="e">
        <f>(Q34+U34)*($AF34-$AG34)*(('Kalkylvärden 1'!$G$56*'Person UA1'!AG34+'Kalkylvärden 1'!$H$56)+('Kalkylvärden 1'!$G$56*$AF34+'Kalkylvärden 1'!$H$56))/2</f>
        <v>#DIV/0!</v>
      </c>
      <c r="AJ34" s="188" t="e">
        <f>(R34+V34)*($AF34-$AG34)*(('Kalkylvärden 1'!$G$53*$AG34+'Kalkylvärden 1'!H55)+('Kalkylvärden 1'!$G$53*$AF34+'Kalkylvärden 1'!$H$53))/2</f>
        <v>#DIV/0!</v>
      </c>
      <c r="AK34" s="188" t="e">
        <f>(S34+W34)*($AF34-$AG34)*(('Kalkylvärden 1'!$G$55*$AG34+'Kalkylvärden 1'!$H$55)+('Kalkylvärden 1'!$G$55*$AF34+'Kalkylvärden 1'!$H$55))/2</f>
        <v>#DIV/0!</v>
      </c>
      <c r="AL34" s="188" t="e">
        <f>ABS(T34)*($AF34-$AG34)/2*(('Kalkylvärden 1'!G56*$AF34+'Kalkylvärden 1'!H56)+('Kalkylvärden 1'!G56*$AG34+'Kalkylvärden 1'!H56))/2</f>
        <v>#DIV/0!</v>
      </c>
      <c r="AM34" s="188" t="e">
        <f>ABS(U34)*($AF34-$AG34)/2*(('Kalkylvärden 1'!$G$56*$AF34+'Kalkylvärden 1'!$H$56)+('Kalkylvärden 1'!$G$56*$AG34+'Kalkylvärden 1'!$H$56))/2</f>
        <v>#DIV/0!</v>
      </c>
      <c r="AN34" s="188" t="e">
        <f>ABS(V34)*($AF34-$AG34)/2*(('Kalkylvärden 1'!$G$53*$AF34+'Kalkylvärden 1'!$H$53)+('Kalkylvärden 1'!$G$53*$AG34+'Kalkylvärden 1'!$H$53))/2</f>
        <v>#DIV/0!</v>
      </c>
      <c r="AO34" s="188" t="e">
        <f>ABS(W34)*($AF34-$AG34)/2*((#REF!*$AF34+#REF!)+(#REF!*$AG34+#REF!))/2</f>
        <v>#DIV/0!</v>
      </c>
      <c r="AQ34" t="s">
        <v>445</v>
      </c>
      <c r="AS34" s="1">
        <f>S30</f>
        <v>250</v>
      </c>
    </row>
    <row r="35" spans="7:46" x14ac:dyDescent="0.25">
      <c r="G35" s="231" t="s">
        <v>446</v>
      </c>
      <c r="H35" s="261"/>
      <c r="I35" s="231" t="s">
        <v>1</v>
      </c>
      <c r="J35" s="371"/>
      <c r="K35" s="371"/>
      <c r="L35" s="371"/>
      <c r="M35" s="83">
        <v>0</v>
      </c>
      <c r="N35" s="61" t="e">
        <f t="shared" si="0"/>
        <v>#DIV/0!</v>
      </c>
      <c r="O35" s="61" t="e">
        <f t="shared" si="1"/>
        <v>#DIV/0!</v>
      </c>
      <c r="P35" s="151">
        <f t="shared" si="2"/>
        <v>0</v>
      </c>
      <c r="Q35" s="151">
        <f t="shared" si="3"/>
        <v>0</v>
      </c>
      <c r="R35" s="151">
        <f t="shared" si="4"/>
        <v>0</v>
      </c>
      <c r="S35" s="151">
        <f t="shared" si="5"/>
        <v>0</v>
      </c>
      <c r="T35" s="51">
        <f>IF($M35&gt;0,P35*($N35/100*'Kalkylvärden 1'!$B$19+O35/100*'Kalkylvärden 1'!$C$19),-P35)</f>
        <v>0</v>
      </c>
      <c r="U35" s="51">
        <f>IF($M35&gt;0,Q35*($N35/100*'Kalkylvärden 1'!B24+$O35/100*Projektspecifikt!#REF!),-Q35)</f>
        <v>0</v>
      </c>
      <c r="V35" s="51">
        <f>IF($M35&gt;0,R35*($N35/100*'Kalkylvärden 1'!B23+$O35/100*Projektspecifikt!#REF!),-R35)</f>
        <v>0</v>
      </c>
      <c r="W35" s="51">
        <f>IF(M35&gt;0,S35*($N35/100*Projektspecifikt!B10+$O35/100*Projektspecifikt!C10),-S35)</f>
        <v>0</v>
      </c>
      <c r="X35" s="51">
        <f>(P35+T35)*$K35*'Kalkylvärden 1'!$C$31/60</f>
        <v>0</v>
      </c>
      <c r="Y35" s="51">
        <f>(Q35+U35)*$K35*'Kalkylvärden 1'!$O$31/60</f>
        <v>0</v>
      </c>
      <c r="Z35" s="51">
        <f>(R35+V35)*$K35*'Kalkylvärden 1'!$B$31/60</f>
        <v>0</v>
      </c>
      <c r="AA35" s="51">
        <f>(S35+W35)*$K35*'Kalkylvärden 1'!$P$31/60</f>
        <v>0</v>
      </c>
      <c r="AB35" s="188">
        <f>ABS(T35)*$K35*'Kalkylvärden 1'!$C$31/(60*2)</f>
        <v>0</v>
      </c>
      <c r="AC35" s="188">
        <f>ABS(U35)*$K35*'Kalkylvärden 1'!$O$31/(60*2)</f>
        <v>0</v>
      </c>
      <c r="AD35" s="188">
        <f>ABS(V35)*$K35*'Kalkylvärden 1'!$B$31/(60*2)</f>
        <v>0</v>
      </c>
      <c r="AE35" s="188">
        <f>ABS(W35)*$K35*'Kalkylvärden 1'!$P$31/(60*2)</f>
        <v>0</v>
      </c>
      <c r="AF35" t="e">
        <f t="shared" si="6"/>
        <v>#DIV/0!</v>
      </c>
      <c r="AG35" t="e">
        <f t="shared" si="6"/>
        <v>#DIV/0!</v>
      </c>
      <c r="AH35" s="188" t="e">
        <f>(P35+T35)*($AF35-$AG35)*(('Kalkylvärden 1'!$G$54*AG35+'Kalkylvärden 1'!$H$54)+('Kalkylvärden 1'!$G$54*'Person UA1'!AF35+'Kalkylvärden 1'!$H$54))/2</f>
        <v>#DIV/0!</v>
      </c>
      <c r="AI35" s="188" t="e">
        <f>(Q35+U35)*($AF35-$AG35)*(('Kalkylvärden 1'!$G$56*'Person UA1'!AG35+'Kalkylvärden 1'!$H$56)+('Kalkylvärden 1'!$G$56*$AF35+'Kalkylvärden 1'!$H$56))/2</f>
        <v>#DIV/0!</v>
      </c>
      <c r="AJ35" s="188" t="e">
        <f>(R35+V35)*($AF35-$AG35)*(('Kalkylvärden 1'!$G$53*$AG35+'Kalkylvärden 1'!H56)+('Kalkylvärden 1'!$G$53*$AF35+'Kalkylvärden 1'!$H$53))/2</f>
        <v>#DIV/0!</v>
      </c>
      <c r="AK35" s="188" t="e">
        <f>(S35+W35)*($AF35-$AG35)*(('Kalkylvärden 1'!$G$55*$AG35+'Kalkylvärden 1'!$H$55)+('Kalkylvärden 1'!$G$55*$AF35+'Kalkylvärden 1'!$H$55))/2</f>
        <v>#DIV/0!</v>
      </c>
      <c r="AL35" s="188" t="e">
        <f>ABS(T35)*($AF35-$AG35)/2*((#REF!*$AF35+#REF!)+(#REF!*$AG35+#REF!))/2</f>
        <v>#DIV/0!</v>
      </c>
      <c r="AM35" s="188" t="e">
        <f>ABS(U35)*($AF35-$AG35)/2*(('Kalkylvärden 1'!$G$56*$AF35+'Kalkylvärden 1'!$H$56)+('Kalkylvärden 1'!$G$56*$AG35+'Kalkylvärden 1'!$H$56))/2</f>
        <v>#DIV/0!</v>
      </c>
      <c r="AN35" s="188" t="e">
        <f>ABS(V35)*($AF35-$AG35)/2*(('Kalkylvärden 1'!$G$53*$AF35+'Kalkylvärden 1'!$H$53)+('Kalkylvärden 1'!$G$53*$AG35+'Kalkylvärden 1'!$H$53))/2</f>
        <v>#DIV/0!</v>
      </c>
      <c r="AO35" s="188" t="e">
        <f>ABS(W35)*($AF35-$AG35)/2*((#REF!*$AF35+#REF!)+(#REF!*$AG35+#REF!))/2</f>
        <v>#DIV/0!</v>
      </c>
    </row>
    <row r="36" spans="7:46" x14ac:dyDescent="0.25">
      <c r="G36" s="231" t="s">
        <v>447</v>
      </c>
      <c r="H36" s="261"/>
      <c r="I36" s="231" t="s">
        <v>1</v>
      </c>
      <c r="J36" s="371"/>
      <c r="K36" s="371"/>
      <c r="L36" s="371"/>
      <c r="M36" s="83">
        <v>0</v>
      </c>
      <c r="N36" s="61" t="e">
        <f t="shared" si="0"/>
        <v>#DIV/0!</v>
      </c>
      <c r="O36" s="61" t="e">
        <f t="shared" si="1"/>
        <v>#DIV/0!</v>
      </c>
      <c r="P36" s="151">
        <f t="shared" si="2"/>
        <v>0</v>
      </c>
      <c r="Q36" s="151">
        <f t="shared" si="3"/>
        <v>0</v>
      </c>
      <c r="R36" s="151">
        <f t="shared" si="4"/>
        <v>0</v>
      </c>
      <c r="S36" s="151">
        <f t="shared" si="5"/>
        <v>0</v>
      </c>
      <c r="T36" s="51">
        <f>IF($M36&gt;0,P36*($N36/100*'Kalkylvärden 1'!$B$19+O36/100*'Kalkylvärden 1'!$C$19),-P36)</f>
        <v>0</v>
      </c>
      <c r="U36" s="51">
        <f>IF($M36&gt;0,Q36*($N36/100*'Kalkylvärden 1'!B23+$O36/100*Projektspecifikt!#REF!),-Q36)</f>
        <v>0</v>
      </c>
      <c r="V36" s="51">
        <f>IF($M36&gt;0,R36*($N36/100*Projektspecifikt!B10+$O36/100*Projektspecifikt!C10),-R36)</f>
        <v>0</v>
      </c>
      <c r="W36" s="51">
        <f>IF(M36&gt;0,S36*($N36/100*Projektspecifikt!B11+$O36/100*Projektspecifikt!C11),-S36)</f>
        <v>0</v>
      </c>
      <c r="X36" s="51">
        <f>(P36+T36)*$K36*'Kalkylvärden 1'!$C$31/60</f>
        <v>0</v>
      </c>
      <c r="Y36" s="51">
        <f>(Q36+U36)*$K36*'Kalkylvärden 1'!$O$31/60</f>
        <v>0</v>
      </c>
      <c r="Z36" s="51">
        <f>(R36+V36)*$K36*'Kalkylvärden 1'!$B$31/60</f>
        <v>0</v>
      </c>
      <c r="AA36" s="51">
        <f>(S36+W36)*$K36*'Kalkylvärden 1'!$P$31/60</f>
        <v>0</v>
      </c>
      <c r="AB36" s="188">
        <f>ABS(T36)*$K36*'Kalkylvärden 1'!$C$31/(60*2)</f>
        <v>0</v>
      </c>
      <c r="AC36" s="188">
        <f>ABS(U36)*$K36*'Kalkylvärden 1'!$O$31/(60*2)</f>
        <v>0</v>
      </c>
      <c r="AD36" s="188">
        <f>ABS(V36)*$K36*'Kalkylvärden 1'!$B$31/(60*2)</f>
        <v>0</v>
      </c>
      <c r="AE36" s="188">
        <f>ABS(W36)*$K36*'Kalkylvärden 1'!$P$31/(60*2)</f>
        <v>0</v>
      </c>
      <c r="AF36" t="e">
        <f t="shared" si="6"/>
        <v>#DIV/0!</v>
      </c>
      <c r="AG36" t="e">
        <f t="shared" si="6"/>
        <v>#DIV/0!</v>
      </c>
      <c r="AH36" s="188" t="e">
        <f>(P36+T36)*($AF36-$AG36)*(('Kalkylvärden 1'!$G$54*AG36+'Kalkylvärden 1'!$H$54)+('Kalkylvärden 1'!$G$54*'Person UA1'!AF36+'Kalkylvärden 1'!$H$54))/2</f>
        <v>#DIV/0!</v>
      </c>
      <c r="AI36" s="188" t="e">
        <f>(Q36+U36)*($AF36-$AG36)*(('Kalkylvärden 1'!$G$56*'Person UA1'!AG36+'Kalkylvärden 1'!$H$56)+('Kalkylvärden 1'!$G$56*$AF36+'Kalkylvärden 1'!$H$56))/2</f>
        <v>#DIV/0!</v>
      </c>
      <c r="AJ36" s="188" t="e">
        <f>(R36+V36)*($AF36-$AG36)*(('Kalkylvärden 1'!$G$53*$AG36+#REF!)+('Kalkylvärden 1'!$G$53*$AF36+'Kalkylvärden 1'!$H$53))/2</f>
        <v>#DIV/0!</v>
      </c>
      <c r="AK36" s="188" t="e">
        <f>(S36+W36)*($AF36-$AG36)*(('Kalkylvärden 1'!$G$55*$AG36+'Kalkylvärden 1'!$H$55)+('Kalkylvärden 1'!$G$55*$AF36+'Kalkylvärden 1'!$H$55))/2</f>
        <v>#DIV/0!</v>
      </c>
      <c r="AL36" s="188" t="e">
        <f>ABS(T36)*($AF36-$AG36)/2*((#REF!*$AF36+#REF!)+(#REF!*$AG36+#REF!))/2</f>
        <v>#DIV/0!</v>
      </c>
      <c r="AM36" s="188" t="e">
        <f>ABS(U36)*($AF36-$AG36)/2*(('Kalkylvärden 1'!$G$56*$AF36+'Kalkylvärden 1'!$H$56)+('Kalkylvärden 1'!$G$56*$AG36+'Kalkylvärden 1'!$H$56))/2</f>
        <v>#DIV/0!</v>
      </c>
      <c r="AN36" s="188" t="e">
        <f>ABS(V36)*($AF36-$AG36)/2*(('Kalkylvärden 1'!$G$53*$AF36+'Kalkylvärden 1'!$H$53)+('Kalkylvärden 1'!$G$53*$AG36+'Kalkylvärden 1'!$H$53))/2</f>
        <v>#DIV/0!</v>
      </c>
      <c r="AO36" s="188" t="e">
        <f>ABS(W36)*($AF36-$AG36)/2*((#REF!*$AF36+#REF!)+(#REF!*$AG36+#REF!))/2</f>
        <v>#DIV/0!</v>
      </c>
      <c r="AQ36" s="187" t="s">
        <v>448</v>
      </c>
    </row>
    <row r="37" spans="7:46" x14ac:dyDescent="0.25">
      <c r="G37" s="231" t="s">
        <v>449</v>
      </c>
      <c r="H37" s="261"/>
      <c r="I37" s="231" t="s">
        <v>1</v>
      </c>
      <c r="J37" s="261"/>
      <c r="K37" s="261"/>
      <c r="L37" s="261"/>
      <c r="M37" s="83"/>
      <c r="N37" s="61" t="e">
        <f t="shared" si="0"/>
        <v>#DIV/0!</v>
      </c>
      <c r="O37" s="61" t="e">
        <f t="shared" si="1"/>
        <v>#DIV/0!</v>
      </c>
      <c r="P37" s="151">
        <f t="shared" si="2"/>
        <v>0</v>
      </c>
      <c r="Q37" s="151">
        <f t="shared" si="3"/>
        <v>0</v>
      </c>
      <c r="R37" s="151">
        <f t="shared" si="4"/>
        <v>0</v>
      </c>
      <c r="S37" s="151">
        <f t="shared" si="5"/>
        <v>0</v>
      </c>
      <c r="T37" s="51">
        <f>IF($M37&gt;0,P37*($N37/100*'Kalkylvärden 1'!$B$19+O37/100*'Kalkylvärden 1'!$C$19),-P37)</f>
        <v>0</v>
      </c>
      <c r="U37" s="51">
        <f>IF($M37&gt;0,Q37*($N37/100*Projektspecifikt!B10+$O37/100*Projektspecifikt!C10),-Q37)</f>
        <v>0</v>
      </c>
      <c r="V37" s="51">
        <f>IF($M37&gt;0,R37*($N37/100*Projektspecifikt!B11+$O37/100*Projektspecifikt!C11),-R37)</f>
        <v>0</v>
      </c>
      <c r="W37" s="51">
        <f>IF(M37&gt;0,S37*($N37/100*Projektspecifikt!B12+$O37/100*Projektspecifikt!C12),-S37)</f>
        <v>0</v>
      </c>
      <c r="X37" s="51">
        <f>(P37+T37)*$K37*'Kalkylvärden 1'!$C$31/60</f>
        <v>0</v>
      </c>
      <c r="Y37" s="51">
        <f>(Q37+U37)*$K37*'Kalkylvärden 1'!$O$31/60</f>
        <v>0</v>
      </c>
      <c r="Z37" s="51">
        <f>(R37+V37)*$K37*'Kalkylvärden 1'!$B$31/60</f>
        <v>0</v>
      </c>
      <c r="AA37" s="51">
        <f>(S37+W37)*$K37*'Kalkylvärden 1'!$P$31/60</f>
        <v>0</v>
      </c>
      <c r="AB37" s="188">
        <f>ABS(T37)*$K37*'Kalkylvärden 1'!$C$31/(60*2)</f>
        <v>0</v>
      </c>
      <c r="AC37" s="188">
        <f>ABS(U37)*$K37*'Kalkylvärden 1'!$O$31/(60*2)</f>
        <v>0</v>
      </c>
      <c r="AD37" s="188">
        <f>ABS(V37)*$K37*'Kalkylvärden 1'!$B$31/(60*2)</f>
        <v>0</v>
      </c>
      <c r="AE37" s="188">
        <f>ABS(W37)*$K37*'Kalkylvärden 1'!$P$31/(60*2)</f>
        <v>0</v>
      </c>
      <c r="AF37" t="e">
        <f t="shared" si="6"/>
        <v>#DIV/0!</v>
      </c>
      <c r="AG37" t="e">
        <f t="shared" si="6"/>
        <v>#DIV/0!</v>
      </c>
      <c r="AH37" s="188" t="e">
        <f>(P37+T37)*($AF37-$AG37)*(('Kalkylvärden 1'!$G$54*AG37+'Kalkylvärden 1'!$H$54)+('Kalkylvärden 1'!$G$54*'Person UA1'!AF37+'Kalkylvärden 1'!$H$54))/2</f>
        <v>#DIV/0!</v>
      </c>
      <c r="AI37" s="188" t="e">
        <f>(Q37+U37)*($AF37-$AG37)*(('Kalkylvärden 1'!$G$56*'Person UA1'!AG37+'Kalkylvärden 1'!$H$56)+('Kalkylvärden 1'!$G$56*$AF37+'Kalkylvärden 1'!$H$56))/2</f>
        <v>#DIV/0!</v>
      </c>
      <c r="AJ37" s="188" t="e">
        <f>(R37+V37)*($AF37-$AG37)*(('Kalkylvärden 1'!$G$53*$AG37+#REF!)+('Kalkylvärden 1'!$G$53*$AF37+'Kalkylvärden 1'!$H$53))/2</f>
        <v>#DIV/0!</v>
      </c>
      <c r="AK37" s="188" t="e">
        <f>(S37+W37)*($AF37-$AG37)*(('Kalkylvärden 1'!$G$55*$AG37+'Kalkylvärden 1'!$H$55)+('Kalkylvärden 1'!$G$55*$AF37+'Kalkylvärden 1'!$H$55))/2</f>
        <v>#DIV/0!</v>
      </c>
      <c r="AL37" s="188" t="e">
        <f>ABS(T37)*($AF37-$AG37)/2*((#REF!*$AF37+#REF!)+(#REF!*$AG37+#REF!))/2</f>
        <v>#DIV/0!</v>
      </c>
      <c r="AM37" s="188" t="e">
        <f>ABS(U37)*($AF37-$AG37)/2*(('Kalkylvärden 1'!$G$56*$AF37+'Kalkylvärden 1'!$H$56)+('Kalkylvärden 1'!$G$56*$AG37+'Kalkylvärden 1'!$H$56))/2</f>
        <v>#DIV/0!</v>
      </c>
      <c r="AN37" s="188" t="e">
        <f>ABS(V37)*($AF37-$AG37)/2*(('Kalkylvärden 1'!$G$53*$AF37+'Kalkylvärden 1'!$H$53)+('Kalkylvärden 1'!$G$53*$AG37+'Kalkylvärden 1'!$H$53))/2</f>
        <v>#DIV/0!</v>
      </c>
      <c r="AO37" s="188" t="e">
        <f>ABS(W37)*($AF37-$AG37)/2*((#REF!*$AF37+#REF!)+(#REF!*$AG37+#REF!))/2</f>
        <v>#DIV/0!</v>
      </c>
      <c r="AQ37" t="s">
        <v>440</v>
      </c>
      <c r="AS37" s="51">
        <f>AS31*-H$26/2*'Kalkylvärden 1'!C40/60</f>
        <v>-17750</v>
      </c>
      <c r="AT37" t="s">
        <v>331</v>
      </c>
    </row>
    <row r="38" spans="7:46" x14ac:dyDescent="0.25">
      <c r="G38" s="231" t="s">
        <v>450</v>
      </c>
      <c r="H38" s="261"/>
      <c r="I38" s="231" t="s">
        <v>1</v>
      </c>
      <c r="J38" s="261"/>
      <c r="K38" s="261"/>
      <c r="L38" s="261"/>
      <c r="M38" s="83"/>
      <c r="N38" s="61" t="e">
        <f t="shared" si="0"/>
        <v>#DIV/0!</v>
      </c>
      <c r="O38" s="61" t="e">
        <f t="shared" si="1"/>
        <v>#DIV/0!</v>
      </c>
      <c r="P38" s="151">
        <f t="shared" si="2"/>
        <v>0</v>
      </c>
      <c r="Q38" s="151">
        <f t="shared" si="3"/>
        <v>0</v>
      </c>
      <c r="R38" s="151">
        <f t="shared" si="4"/>
        <v>0</v>
      </c>
      <c r="S38" s="151">
        <f t="shared" si="5"/>
        <v>0</v>
      </c>
      <c r="T38" s="51">
        <f>IF($M38&gt;0,P38*($N38/100*'Kalkylvärden 1'!$B$19+O38/100*'Kalkylvärden 1'!$C$19),-P38)</f>
        <v>0</v>
      </c>
      <c r="U38" s="51">
        <f>IF($M38&gt;0,Q38*($N38/100*Projektspecifikt!B11+$O38/100*Projektspecifikt!C11),-Q38)</f>
        <v>0</v>
      </c>
      <c r="V38" s="51">
        <f>IF($M38&gt;0,R38*($N38/100*Projektspecifikt!B12+$O38/100*Projektspecifikt!C12),-R38)</f>
        <v>0</v>
      </c>
      <c r="W38" s="51">
        <f>IF(M38&gt;0,S38*($N38/100*Projektspecifikt!B13+$O38/100*Projektspecifikt!C13),-S38)</f>
        <v>0</v>
      </c>
      <c r="X38" s="51">
        <f>(P38+T38)*$K38*'Kalkylvärden 1'!$C$31/60</f>
        <v>0</v>
      </c>
      <c r="Y38" s="51">
        <f>(Q38+U38)*$K38*'Kalkylvärden 1'!$O$31/60</f>
        <v>0</v>
      </c>
      <c r="Z38" s="51">
        <f>(R38+V38)*$K38*'Kalkylvärden 1'!$B$31/60</f>
        <v>0</v>
      </c>
      <c r="AA38" s="51">
        <f>(S38+W38)*$K38*'Kalkylvärden 1'!$P$31/60</f>
        <v>0</v>
      </c>
      <c r="AB38" s="188">
        <f>ABS(T38)*$K38*'Kalkylvärden 1'!$C$31/(60*2)</f>
        <v>0</v>
      </c>
      <c r="AC38" s="188">
        <f>ABS(U38)*$K38*'Kalkylvärden 1'!$O$31/(60*2)</f>
        <v>0</v>
      </c>
      <c r="AD38" s="188">
        <f>ABS(V38)*$K38*'Kalkylvärden 1'!$B$31/(60*2)</f>
        <v>0</v>
      </c>
      <c r="AE38" s="188">
        <f>ABS(W38)*$K38*'Kalkylvärden 1'!$P$31/(60*2)</f>
        <v>0</v>
      </c>
      <c r="AF38" t="e">
        <f t="shared" si="6"/>
        <v>#DIV/0!</v>
      </c>
      <c r="AG38" t="e">
        <f t="shared" si="6"/>
        <v>#DIV/0!</v>
      </c>
      <c r="AH38" s="188" t="e">
        <f>(P38+T38)*($AF38-$AG38)*(('Kalkylvärden 1'!$G$54*AG38+'Kalkylvärden 1'!$H$54)+('Kalkylvärden 1'!$G$54*'Person UA1'!AF38+'Kalkylvärden 1'!$H$54))/2</f>
        <v>#DIV/0!</v>
      </c>
      <c r="AI38" s="188" t="e">
        <f>(Q38+U38)*($AF38-$AG38)*(('Kalkylvärden 1'!$G$56*'Person UA1'!AG38+'Kalkylvärden 1'!$H$56)+('Kalkylvärden 1'!$G$56*$AF38+'Kalkylvärden 1'!$H$56))/2</f>
        <v>#DIV/0!</v>
      </c>
      <c r="AJ38" s="188" t="e">
        <f>(R38+V38)*($AF38-$AG38)*(('Kalkylvärden 1'!$G$53*$AG38+#REF!)+('Kalkylvärden 1'!$G$53*$AF38+'Kalkylvärden 1'!$H$53))/2</f>
        <v>#DIV/0!</v>
      </c>
      <c r="AK38" s="188" t="e">
        <f>(S38+W38)*($AF38-$AG38)*(('Kalkylvärden 1'!$G$55*$AG38+'Kalkylvärden 1'!$H$55)+('Kalkylvärden 1'!$G$55*$AF38+'Kalkylvärden 1'!$H$55))/2</f>
        <v>#DIV/0!</v>
      </c>
      <c r="AL38" s="188" t="e">
        <f>ABS(T38)*($AF38-$AG38)/2*((#REF!*$AF38+#REF!)+(#REF!*$AG38+#REF!))/2</f>
        <v>#DIV/0!</v>
      </c>
      <c r="AM38" s="188" t="e">
        <f>ABS(U38)*($AF38-$AG38)/2*(('Kalkylvärden 1'!$G$56*$AF38+'Kalkylvärden 1'!$H$56)+('Kalkylvärden 1'!$G$56*$AG38+'Kalkylvärden 1'!$H$56))/2</f>
        <v>#DIV/0!</v>
      </c>
      <c r="AN38" s="188" t="e">
        <f>ABS(V38)*($AF38-$AG38)/2*(('Kalkylvärden 1'!$G$53*$AF38+'Kalkylvärden 1'!$H$53)+('Kalkylvärden 1'!$G$53*$AG38+'Kalkylvärden 1'!$H$53))/2</f>
        <v>#DIV/0!</v>
      </c>
      <c r="AO38" s="188" t="e">
        <f>ABS(W38)*($AF38-$AG38)/2*((#REF!*$AF38+#REF!)+(#REF!*$AG38+#REF!))/2</f>
        <v>#DIV/0!</v>
      </c>
      <c r="AQ38" t="s">
        <v>442</v>
      </c>
      <c r="AS38" s="51">
        <f>AS32*-H26/2*'Kalkylvärden 1'!O36/60</f>
        <v>-7062.5</v>
      </c>
      <c r="AT38" t="s">
        <v>331</v>
      </c>
    </row>
    <row r="39" spans="7:46" x14ac:dyDescent="0.25">
      <c r="G39" s="231" t="s">
        <v>451</v>
      </c>
      <c r="H39" s="261"/>
      <c r="I39" s="231" t="s">
        <v>1</v>
      </c>
      <c r="J39" s="261"/>
      <c r="K39" s="261"/>
      <c r="L39" s="261"/>
      <c r="M39" s="83"/>
      <c r="N39" s="61" t="e">
        <f t="shared" si="0"/>
        <v>#DIV/0!</v>
      </c>
      <c r="O39" s="61" t="e">
        <f t="shared" si="1"/>
        <v>#DIV/0!</v>
      </c>
      <c r="P39" s="151">
        <f t="shared" si="2"/>
        <v>0</v>
      </c>
      <c r="Q39" s="151">
        <f t="shared" si="3"/>
        <v>0</v>
      </c>
      <c r="R39" s="151">
        <f t="shared" si="4"/>
        <v>0</v>
      </c>
      <c r="S39" s="151">
        <f t="shared" si="5"/>
        <v>0</v>
      </c>
      <c r="T39" s="51">
        <f>IF($M39&gt;0,P39*($N39/100*'Kalkylvärden 1'!$B$19+O39/100*'Kalkylvärden 1'!$C$19),-P39)</f>
        <v>0</v>
      </c>
      <c r="U39" s="51">
        <f>IF($M39&gt;0,Q39*($N39/100*Projektspecifikt!B12+$O39/100*Projektspecifikt!C12),-Q39)</f>
        <v>0</v>
      </c>
      <c r="V39" s="51">
        <f>IF($M39&gt;0,R39*($N39/100*Projektspecifikt!B13+$O39/100*Projektspecifikt!C13),-R39)</f>
        <v>0</v>
      </c>
      <c r="W39" s="51">
        <f>IF(M39&gt;0,S39*($N39/100*Projektspecifikt!B14+$O39/100*Projektspecifikt!C14),-S39)</f>
        <v>0</v>
      </c>
      <c r="X39" s="51">
        <f>(P39+T39)*$K39*'Kalkylvärden 1'!$C$31/60</f>
        <v>0</v>
      </c>
      <c r="Y39" s="51">
        <f>(Q39+U39)*$K39*'Kalkylvärden 1'!$O$31/60</f>
        <v>0</v>
      </c>
      <c r="Z39" s="51">
        <f>(R39+V39)*$K39*'Kalkylvärden 1'!$B$31/60</f>
        <v>0</v>
      </c>
      <c r="AA39" s="51">
        <f>(S39+W39)*$K39*'Kalkylvärden 1'!$P$31/60</f>
        <v>0</v>
      </c>
      <c r="AB39" s="188">
        <f>ABS(T39)*$K39*'Kalkylvärden 1'!$C$31/(60*2)</f>
        <v>0</v>
      </c>
      <c r="AC39" s="188">
        <f>ABS(U39)*$K39*'Kalkylvärden 1'!$O$31/(60*2)</f>
        <v>0</v>
      </c>
      <c r="AD39" s="188">
        <f>ABS(V39)*$K39*'Kalkylvärden 1'!$B$31/(60*2)</f>
        <v>0</v>
      </c>
      <c r="AE39" s="188">
        <f>ABS(W39)*$K39*'Kalkylvärden 1'!$P$31/(60*2)</f>
        <v>0</v>
      </c>
      <c r="AF39" t="e">
        <f t="shared" si="6"/>
        <v>#DIV/0!</v>
      </c>
      <c r="AG39" t="e">
        <f t="shared" si="6"/>
        <v>#DIV/0!</v>
      </c>
      <c r="AH39" s="188" t="e">
        <f>(P39+T39)*($AF39-$AG39)*(('Kalkylvärden 1'!$G$54*AG39+'Kalkylvärden 1'!$H$54)+('Kalkylvärden 1'!$G$54*'Person UA1'!AF39+'Kalkylvärden 1'!$H$54))/2</f>
        <v>#DIV/0!</v>
      </c>
      <c r="AI39" s="188" t="e">
        <f>(Q39+U39)*($AF39-$AG39)*(('Kalkylvärden 1'!$G$56*'Person UA1'!AG39+'Kalkylvärden 1'!$H$56)+('Kalkylvärden 1'!$G$56*$AF39+'Kalkylvärden 1'!$H$56))/2</f>
        <v>#DIV/0!</v>
      </c>
      <c r="AJ39" s="188" t="e">
        <f>(R39+V39)*($AF39-$AG39)*(('Kalkylvärden 1'!$G$53*$AG39+#REF!)+('Kalkylvärden 1'!$G$53*$AF39+'Kalkylvärden 1'!$H$53))/2</f>
        <v>#DIV/0!</v>
      </c>
      <c r="AK39" s="188" t="e">
        <f>(S39+W39)*($AF39-$AG39)*(('Kalkylvärden 1'!$G$55*$AG39+'Kalkylvärden 1'!$H$55)+('Kalkylvärden 1'!$G$55*$AF39+'Kalkylvärden 1'!$H$55))/2</f>
        <v>#DIV/0!</v>
      </c>
      <c r="AL39" s="188" t="e">
        <f>ABS(T39)*($AF39-$AG39)/2*((#REF!*$AF39+#REF!)+(#REF!*$AG39+#REF!))/2</f>
        <v>#DIV/0!</v>
      </c>
      <c r="AM39" s="188" t="e">
        <f>ABS(U39)*($AF39-$AG39)/2*(('Kalkylvärden 1'!$G$56*$AF39+'Kalkylvärden 1'!$H$56)+('Kalkylvärden 1'!$G$56*$AG39+'Kalkylvärden 1'!$H$56))/2</f>
        <v>#DIV/0!</v>
      </c>
      <c r="AN39" s="188" t="e">
        <f>ABS(V39)*($AF39-$AG39)/2*(('Kalkylvärden 1'!$G$53*$AF39+'Kalkylvärden 1'!$H$53)+('Kalkylvärden 1'!$G$53*$AG39+'Kalkylvärden 1'!$H$53))/2</f>
        <v>#DIV/0!</v>
      </c>
      <c r="AO39" s="188" t="e">
        <f>ABS(W39)*($AF39-$AG39)/2*((#REF!*$AF39+#REF!)+(#REF!*$AG39+#REF!))/2</f>
        <v>#DIV/0!</v>
      </c>
      <c r="AQ39" t="s">
        <v>443</v>
      </c>
      <c r="AS39" s="51">
        <f>AS33*-H26/2*'Kalkylvärden 1'!B40/60</f>
        <v>-13700</v>
      </c>
      <c r="AT39" t="s">
        <v>331</v>
      </c>
    </row>
    <row r="40" spans="7:46" x14ac:dyDescent="0.25">
      <c r="G40" s="231" t="s">
        <v>452</v>
      </c>
      <c r="H40" s="261"/>
      <c r="I40" s="231" t="s">
        <v>1</v>
      </c>
      <c r="J40" s="261"/>
      <c r="K40" s="261"/>
      <c r="L40" s="261"/>
      <c r="M40" s="264"/>
      <c r="N40" s="61" t="e">
        <f t="shared" si="0"/>
        <v>#DIV/0!</v>
      </c>
      <c r="O40" s="61" t="e">
        <f t="shared" si="1"/>
        <v>#DIV/0!</v>
      </c>
      <c r="P40" s="151">
        <f t="shared" si="2"/>
        <v>0</v>
      </c>
      <c r="Q40" s="151">
        <f t="shared" si="3"/>
        <v>0</v>
      </c>
      <c r="R40" s="151">
        <f t="shared" si="4"/>
        <v>0</v>
      </c>
      <c r="S40" s="151">
        <f t="shared" si="5"/>
        <v>0</v>
      </c>
      <c r="T40" s="51">
        <f>IF($M40&gt;0,P40*($N40/100*'Kalkylvärden 1'!$B$19+O40/100*'Kalkylvärden 1'!$C$19),-P40)</f>
        <v>0</v>
      </c>
      <c r="U40" s="51">
        <f>IF($M40&gt;0,Q40*($N40/100*Projektspecifikt!B13+$O40/100*Projektspecifikt!C13),-Q40)</f>
        <v>0</v>
      </c>
      <c r="V40" s="51">
        <f>IF($M40&gt;0,R40*($N40/100*Projektspecifikt!B14+$O40/100*Projektspecifikt!C14),-R40)</f>
        <v>0</v>
      </c>
      <c r="W40" s="51">
        <f>IF(M40&gt;0,S40*($N40/100*Projektspecifikt!B15+$O40/100*Projektspecifikt!C15),-S40)</f>
        <v>0</v>
      </c>
      <c r="X40" s="51">
        <f>(P40+T40)*$K40*'Kalkylvärden 1'!$C$31/60</f>
        <v>0</v>
      </c>
      <c r="Y40" s="51">
        <f>(Q40+U40)*$K40*'Kalkylvärden 1'!$O$31/60</f>
        <v>0</v>
      </c>
      <c r="Z40" s="51">
        <f>(R40+V40)*$K40*'Kalkylvärden 1'!$B$31/60</f>
        <v>0</v>
      </c>
      <c r="AA40" s="51">
        <f>(S40+W40)*$K40*'Kalkylvärden 1'!$P$31/60</f>
        <v>0</v>
      </c>
      <c r="AB40" s="188">
        <f>ABS(T40)*$K40*'Kalkylvärden 1'!$C$31/(60*2)</f>
        <v>0</v>
      </c>
      <c r="AC40" s="188">
        <f>ABS(U40)*$K40*'Kalkylvärden 1'!$O$31/(60*2)</f>
        <v>0</v>
      </c>
      <c r="AD40" s="188">
        <f>ABS(V40)*$K40*'Kalkylvärden 1'!$B$31/(60*2)</f>
        <v>0</v>
      </c>
      <c r="AE40" s="188">
        <f>ABS(W40)*$K40*'Kalkylvärden 1'!$P$31/(60*2)</f>
        <v>0</v>
      </c>
      <c r="AF40" t="e">
        <f t="shared" si="6"/>
        <v>#DIV/0!</v>
      </c>
      <c r="AG40" t="e">
        <f t="shared" si="6"/>
        <v>#DIV/0!</v>
      </c>
      <c r="AH40" s="188" t="e">
        <f>(P40+T40)*($AF40-$AG40)*(('Kalkylvärden 1'!$G$54*AG40+'Kalkylvärden 1'!$H$54)+('Kalkylvärden 1'!$G$54*'Person UA1'!AF40+'Kalkylvärden 1'!$H$54))/2</f>
        <v>#DIV/0!</v>
      </c>
      <c r="AI40" s="188" t="e">
        <f>(Q40+U40)*($AF40-$AG40)*(('Kalkylvärden 1'!$G$56*'Person UA1'!AG40+'Kalkylvärden 1'!$H$56)+('Kalkylvärden 1'!$G$56*$AF40+'Kalkylvärden 1'!$H$56))/2</f>
        <v>#DIV/0!</v>
      </c>
      <c r="AJ40" s="188" t="e">
        <f>(R40+V40)*($AF40-$AG40)*(('Kalkylvärden 1'!$G$53*$AG40+#REF!)+('Kalkylvärden 1'!$G$53*$AF40+'Kalkylvärden 1'!$H$53))/2</f>
        <v>#DIV/0!</v>
      </c>
      <c r="AK40" s="188" t="e">
        <f>(S40+W40)*($AF40-$AG40)*(('Kalkylvärden 1'!$G$55*$AG40+'Kalkylvärden 1'!$H$55)+('Kalkylvärden 1'!$G$55*$AF40+'Kalkylvärden 1'!$H$55))/2</f>
        <v>#DIV/0!</v>
      </c>
      <c r="AL40" s="188" t="e">
        <f>ABS(T40)*($AF40-$AG40)/2*((#REF!*$AF40+#REF!)+(#REF!*$AG40+#REF!))/2</f>
        <v>#DIV/0!</v>
      </c>
      <c r="AM40" s="188" t="e">
        <f>ABS(U40)*($AF40-$AG40)/2*(('Kalkylvärden 1'!$G$56*$AF40+'Kalkylvärden 1'!$H$56)+('Kalkylvärden 1'!$G$56*$AG40+'Kalkylvärden 1'!$H$56))/2</f>
        <v>#DIV/0!</v>
      </c>
      <c r="AN40" s="188" t="e">
        <f>ABS(V40)*($AF40-$AG40)/2*(('Kalkylvärden 1'!$G$53*$AF40+'Kalkylvärden 1'!$H$53)+('Kalkylvärden 1'!$G$53*$AG40+'Kalkylvärden 1'!$H$53))/2</f>
        <v>#DIV/0!</v>
      </c>
      <c r="AO40" s="188" t="e">
        <f>ABS(W40)*($AF40-$AG40)/2*((#REF!*$AF40+#REF!)+(#REF!*$AG40+#REF!))/2</f>
        <v>#DIV/0!</v>
      </c>
      <c r="AQ40" t="s">
        <v>445</v>
      </c>
      <c r="AS40" s="189">
        <f>AS34*-H26/2*'Kalkylvärden 1'!P36/60</f>
        <v>-7062.5</v>
      </c>
      <c r="AT40" t="s">
        <v>331</v>
      </c>
    </row>
    <row r="41" spans="7:46" x14ac:dyDescent="0.25">
      <c r="G41" s="231" t="s">
        <v>453</v>
      </c>
      <c r="H41" s="261"/>
      <c r="I41" s="231" t="s">
        <v>1</v>
      </c>
      <c r="J41" s="261"/>
      <c r="K41" s="261"/>
      <c r="L41" s="261"/>
      <c r="M41" s="264"/>
      <c r="N41" s="61" t="e">
        <f t="shared" si="0"/>
        <v>#DIV/0!</v>
      </c>
      <c r="O41" s="61" t="e">
        <f t="shared" si="1"/>
        <v>#DIV/0!</v>
      </c>
      <c r="P41" s="151">
        <f t="shared" si="2"/>
        <v>0</v>
      </c>
      <c r="Q41" s="151">
        <f t="shared" si="3"/>
        <v>0</v>
      </c>
      <c r="R41" s="151">
        <f t="shared" si="4"/>
        <v>0</v>
      </c>
      <c r="S41" s="151">
        <f t="shared" si="5"/>
        <v>0</v>
      </c>
      <c r="T41" s="51">
        <f>IF($M41&gt;0,P41*($N41/100*'Kalkylvärden 1'!$B$19+O41/100*'Kalkylvärden 1'!$C$19),-P41)</f>
        <v>0</v>
      </c>
      <c r="U41" s="51">
        <f>IF($M41&gt;0,Q41*($N41/100*Projektspecifikt!B14+$O41/100*Projektspecifikt!C14),-Q41)</f>
        <v>0</v>
      </c>
      <c r="V41" s="51">
        <f>IF($M41&gt;0,R41*($N41/100*Projektspecifikt!B15+$O41/100*Projektspecifikt!C15),-R41)</f>
        <v>0</v>
      </c>
      <c r="W41" s="51">
        <f>IF(M41&gt;0,S41*($N41/100*Projektspecifikt!B16+$O41/100*Projektspecifikt!C16),-S41)</f>
        <v>0</v>
      </c>
      <c r="X41" s="51">
        <f>(P41+T41)*$K41*'Kalkylvärden 1'!$C$31/60</f>
        <v>0</v>
      </c>
      <c r="Y41" s="51">
        <f>(Q41+U41)*$K41*'Kalkylvärden 1'!$O$31/60</f>
        <v>0</v>
      </c>
      <c r="Z41" s="51">
        <f>(R41+V41)*$K41*'Kalkylvärden 1'!$B$31/60</f>
        <v>0</v>
      </c>
      <c r="AA41" s="51">
        <f>(S41+W41)*$K41*'Kalkylvärden 1'!$P$31/60</f>
        <v>0</v>
      </c>
      <c r="AB41" s="188">
        <f>ABS(T41)*$K41*'Kalkylvärden 1'!$C$31/(60*2)</f>
        <v>0</v>
      </c>
      <c r="AC41" s="188">
        <f>ABS(U41)*$K41*'Kalkylvärden 1'!$O$31/(60*2)</f>
        <v>0</v>
      </c>
      <c r="AD41" s="188">
        <f>ABS(V41)*$K41*'Kalkylvärden 1'!$B$31/(60*2)</f>
        <v>0</v>
      </c>
      <c r="AE41" s="188">
        <f>ABS(W41)*$K41*'Kalkylvärden 1'!$P$31/(60*2)</f>
        <v>0</v>
      </c>
      <c r="AF41" t="e">
        <f t="shared" si="6"/>
        <v>#DIV/0!</v>
      </c>
      <c r="AG41" t="e">
        <f t="shared" si="6"/>
        <v>#DIV/0!</v>
      </c>
      <c r="AH41" s="188" t="e">
        <f>(P41+T41)*($AF41-$AG41)*(('Kalkylvärden 1'!$G$54*AG41+'Kalkylvärden 1'!$H$54)+('Kalkylvärden 1'!$G$54*'Person UA1'!AF41+'Kalkylvärden 1'!$H$54))/2</f>
        <v>#DIV/0!</v>
      </c>
      <c r="AI41" s="188" t="e">
        <f>(Q41+U41)*($AF41-$AG41)*(('Kalkylvärden 1'!$G$56*'Person UA1'!AG41+'Kalkylvärden 1'!$H$56)+('Kalkylvärden 1'!$G$56*$AF41+'Kalkylvärden 1'!$H$56))/2</f>
        <v>#DIV/0!</v>
      </c>
      <c r="AJ41" s="188" t="e">
        <f>(R41+V41)*($AF41-$AG41)*(('Kalkylvärden 1'!$G$53*$AG41+#REF!)+('Kalkylvärden 1'!$G$53*$AF41+'Kalkylvärden 1'!$H$53))/2</f>
        <v>#DIV/0!</v>
      </c>
      <c r="AK41" s="188" t="e">
        <f>(S41+W41)*($AF41-$AG41)*(('Kalkylvärden 1'!$G$55*$AG41+'Kalkylvärden 1'!$H$55)+('Kalkylvärden 1'!$G$55*$AF41+'Kalkylvärden 1'!$H$55))/2</f>
        <v>#DIV/0!</v>
      </c>
      <c r="AL41" s="188" t="e">
        <f>ABS(T41)*($AF41-$AG41)/2*((#REF!*$AF41+#REF!)+(#REF!*$AG41+#REF!))/2</f>
        <v>#DIV/0!</v>
      </c>
      <c r="AM41" s="188" t="e">
        <f>ABS(U41)*($AF41-$AG41)/2*(('Kalkylvärden 1'!$G$56*$AF41+'Kalkylvärden 1'!$H$56)+('Kalkylvärden 1'!$G$56*$AG41+'Kalkylvärden 1'!$H$56))/2</f>
        <v>#DIV/0!</v>
      </c>
      <c r="AN41" s="188" t="e">
        <f>ABS(V41)*($AF41-$AG41)/2*(('Kalkylvärden 1'!$G$53*$AF41+'Kalkylvärden 1'!$H$53)+('Kalkylvärden 1'!$G$53*$AG41+'Kalkylvärden 1'!$H$53))/2</f>
        <v>#DIV/0!</v>
      </c>
      <c r="AO41" s="188" t="e">
        <f>ABS(W41)*($AF41-$AG41)/2*((#REF!*$AF41+#REF!)+(#REF!*$AG41+#REF!))/2</f>
        <v>#DIV/0!</v>
      </c>
      <c r="AQ41" t="s">
        <v>342</v>
      </c>
      <c r="AS41" s="190">
        <f>SUM(AS37:AS40)</f>
        <v>-45575</v>
      </c>
      <c r="AT41" t="s">
        <v>331</v>
      </c>
    </row>
    <row r="42" spans="7:46" x14ac:dyDescent="0.25">
      <c r="G42" s="231" t="s">
        <v>454</v>
      </c>
      <c r="H42" s="261"/>
      <c r="I42" s="231" t="s">
        <v>1</v>
      </c>
      <c r="J42" s="261"/>
      <c r="K42" s="261"/>
      <c r="L42" s="261"/>
      <c r="M42" s="264"/>
      <c r="N42" s="61" t="e">
        <f t="shared" si="0"/>
        <v>#DIV/0!</v>
      </c>
      <c r="O42" s="61" t="e">
        <f t="shared" si="1"/>
        <v>#DIV/0!</v>
      </c>
      <c r="P42" s="151">
        <f t="shared" si="2"/>
        <v>0</v>
      </c>
      <c r="Q42" s="151">
        <f t="shared" si="3"/>
        <v>0</v>
      </c>
      <c r="R42" s="151">
        <f t="shared" si="4"/>
        <v>0</v>
      </c>
      <c r="S42" s="151">
        <f t="shared" si="5"/>
        <v>0</v>
      </c>
      <c r="T42" s="51">
        <f>IF($M42&gt;0,P42*($N42/100*'Kalkylvärden 1'!$B$19+O42/100*'Kalkylvärden 1'!$C$19),-P42)</f>
        <v>0</v>
      </c>
      <c r="U42" s="51">
        <f>IF($M42&gt;0,Q42*($N42/100*Projektspecifikt!B15+$O42/100*Projektspecifikt!C15),-Q42)</f>
        <v>0</v>
      </c>
      <c r="V42" s="51">
        <f>IF($M42&gt;0,R42*($N42/100*Projektspecifikt!B16+$O42/100*Projektspecifikt!C16),-R42)</f>
        <v>0</v>
      </c>
      <c r="W42" s="51">
        <f>IF(M42&gt;0,S42*($N42/100*Projektspecifikt!B17+$O42/100*Projektspecifikt!C17),-S42)</f>
        <v>0</v>
      </c>
      <c r="X42" s="51">
        <f>(P42+T42)*$K42*'Kalkylvärden 1'!$C$31/60</f>
        <v>0</v>
      </c>
      <c r="Y42" s="51">
        <f>(Q42+U42)*$K42*'Kalkylvärden 1'!$O$31/60</f>
        <v>0</v>
      </c>
      <c r="Z42" s="51">
        <f>(R42+V42)*$K42*'Kalkylvärden 1'!$B$31/60</f>
        <v>0</v>
      </c>
      <c r="AA42" s="51">
        <f>(S42+W42)*$K42*'Kalkylvärden 1'!$P$31/60</f>
        <v>0</v>
      </c>
      <c r="AB42" s="188">
        <f>ABS(T42)*$K42*'Kalkylvärden 1'!$C$31/(60*2)</f>
        <v>0</v>
      </c>
      <c r="AC42" s="188">
        <f>ABS(U42)*$K42*'Kalkylvärden 1'!$O$31/(60*2)</f>
        <v>0</v>
      </c>
      <c r="AD42" s="188">
        <f>ABS(V42)*$K42*'Kalkylvärden 1'!$B$31/(60*2)</f>
        <v>0</v>
      </c>
      <c r="AE42" s="188">
        <f>ABS(W42)*$K42*'Kalkylvärden 1'!$P$31/(60*2)</f>
        <v>0</v>
      </c>
      <c r="AF42" t="e">
        <f t="shared" si="6"/>
        <v>#DIV/0!</v>
      </c>
      <c r="AG42" t="e">
        <f t="shared" si="6"/>
        <v>#DIV/0!</v>
      </c>
      <c r="AH42" s="188" t="e">
        <f>(P42+T42)*($AF42-$AG42)*(('Kalkylvärden 1'!$G$54*AG42+'Kalkylvärden 1'!$H$54)+('Kalkylvärden 1'!$G$54*'Person UA1'!AF42+'Kalkylvärden 1'!$H$54))/2</f>
        <v>#DIV/0!</v>
      </c>
      <c r="AI42" s="188" t="e">
        <f>(Q42+U42)*($AF42-$AG42)*(('Kalkylvärden 1'!$G$56*'Person UA1'!AG42+'Kalkylvärden 1'!$H$56)+('Kalkylvärden 1'!$G$56*$AF42+'Kalkylvärden 1'!$H$56))/2</f>
        <v>#DIV/0!</v>
      </c>
      <c r="AJ42" s="188" t="e">
        <f>(R42+V42)*($AF42-$AG42)*(('Kalkylvärden 1'!$G$53*$AG42+#REF!)+('Kalkylvärden 1'!$G$53*$AF42+'Kalkylvärden 1'!$H$53))/2</f>
        <v>#DIV/0!</v>
      </c>
      <c r="AK42" s="188" t="e">
        <f>(S42+W42)*($AF42-$AG42)*(('Kalkylvärden 1'!$G$55*$AG42+'Kalkylvärden 1'!$H$55)+('Kalkylvärden 1'!$G$55*$AF42+'Kalkylvärden 1'!$H$55))/2</f>
        <v>#DIV/0!</v>
      </c>
      <c r="AL42" s="188" t="e">
        <f>ABS(T42)*($AF42-$AG42)/2*((#REF!*$AF42+#REF!)+(#REF!*$AG42+#REF!))/2</f>
        <v>#DIV/0!</v>
      </c>
      <c r="AM42" s="188" t="e">
        <f>ABS(U42)*($AF42-$AG42)/2*(('Kalkylvärden 1'!$G$56*$AF42+'Kalkylvärden 1'!$H$56)+('Kalkylvärden 1'!$G$56*$AG42+'Kalkylvärden 1'!$H$56))/2</f>
        <v>#DIV/0!</v>
      </c>
      <c r="AN42" s="188" t="e">
        <f>ABS(V42)*($AF42-$AG42)/2*(('Kalkylvärden 1'!$G$53*$AF42+'Kalkylvärden 1'!$H$53)+('Kalkylvärden 1'!$G$53*$AG42+'Kalkylvärden 1'!$H$53))/2</f>
        <v>#DIV/0!</v>
      </c>
      <c r="AO42" s="188" t="e">
        <f>ABS(W42)*($AF42-$AG42)/2*((#REF!*$AF42+#REF!)+(#REF!*$AG42+#REF!))/2</f>
        <v>#DIV/0!</v>
      </c>
      <c r="AQ42" s="172" t="s">
        <v>455</v>
      </c>
    </row>
    <row r="43" spans="7:46" x14ac:dyDescent="0.25">
      <c r="G43" s="231" t="s">
        <v>456</v>
      </c>
      <c r="H43" s="261"/>
      <c r="I43" s="231" t="s">
        <v>1</v>
      </c>
      <c r="J43" s="261"/>
      <c r="K43" s="261"/>
      <c r="L43" s="261"/>
      <c r="M43" s="264"/>
      <c r="N43" s="61" t="e">
        <f t="shared" si="0"/>
        <v>#DIV/0!</v>
      </c>
      <c r="O43" s="61" t="e">
        <f t="shared" si="1"/>
        <v>#DIV/0!</v>
      </c>
      <c r="P43" s="151">
        <f t="shared" si="2"/>
        <v>0</v>
      </c>
      <c r="Q43" s="151">
        <f t="shared" si="3"/>
        <v>0</v>
      </c>
      <c r="R43" s="151">
        <f t="shared" si="4"/>
        <v>0</v>
      </c>
      <c r="S43" s="151">
        <f t="shared" si="5"/>
        <v>0</v>
      </c>
      <c r="T43" s="51">
        <f>IF($M43&gt;0,P43*($N43/100*'Kalkylvärden 1'!$B$19+O43/100*'Kalkylvärden 1'!$C$19),-P43)</f>
        <v>0</v>
      </c>
      <c r="U43" s="51">
        <f>IF($M43&gt;0,Q43*($N43/100*Projektspecifikt!B16+$O43/100*Projektspecifikt!C16),-Q43)</f>
        <v>0</v>
      </c>
      <c r="V43" s="51">
        <f>IF($M43&gt;0,R43*($N43/100*Projektspecifikt!B17+$O43/100*Projektspecifikt!C17),-R43)</f>
        <v>0</v>
      </c>
      <c r="W43" s="51">
        <f>IF(M43&gt;0,S43*($N43/100*Projektspecifikt!B18+$O43/100*Projektspecifikt!C18),-S43)</f>
        <v>0</v>
      </c>
      <c r="X43" s="51">
        <f>(P43+T43)*$K43*'Kalkylvärden 1'!$C$31/60</f>
        <v>0</v>
      </c>
      <c r="Y43" s="51">
        <f>(Q43+U43)*$K43*'Kalkylvärden 1'!$O$31/60</f>
        <v>0</v>
      </c>
      <c r="Z43" s="51">
        <f>(R43+V43)*$K43*'Kalkylvärden 1'!$B$31/60</f>
        <v>0</v>
      </c>
      <c r="AA43" s="51">
        <f>(S43+W43)*$K43*'Kalkylvärden 1'!$P$31/60</f>
        <v>0</v>
      </c>
      <c r="AB43" s="188">
        <f>ABS(T43)*$K43*'Kalkylvärden 1'!$C$31/(60*2)</f>
        <v>0</v>
      </c>
      <c r="AC43" s="188">
        <f>ABS(U43)*$K43*'Kalkylvärden 1'!$O$31/(60*2)</f>
        <v>0</v>
      </c>
      <c r="AD43" s="188">
        <f>ABS(V43)*$K43*'Kalkylvärden 1'!$B$31/(60*2)</f>
        <v>0</v>
      </c>
      <c r="AE43" s="188">
        <f>ABS(W43)*$K43*'Kalkylvärden 1'!$P$31/(60*2)</f>
        <v>0</v>
      </c>
      <c r="AF43" t="e">
        <f t="shared" si="6"/>
        <v>#DIV/0!</v>
      </c>
      <c r="AG43" t="e">
        <f t="shared" si="6"/>
        <v>#DIV/0!</v>
      </c>
      <c r="AH43" s="188" t="e">
        <f>(P43+T43)*($AF43-$AG43)*(('Kalkylvärden 1'!$G$54*AG43+'Kalkylvärden 1'!$H$54)+('Kalkylvärden 1'!$G$54*'Person UA1'!AF43+'Kalkylvärden 1'!$H$54))/2</f>
        <v>#DIV/0!</v>
      </c>
      <c r="AI43" s="188" t="e">
        <f>(Q43+U43)*($AF43-$AG43)*(('Kalkylvärden 1'!$G$56*'Person UA1'!AG43+'Kalkylvärden 1'!$H$56)+('Kalkylvärden 1'!$G$56*$AF43+'Kalkylvärden 1'!$H$56))/2</f>
        <v>#DIV/0!</v>
      </c>
      <c r="AJ43" s="188" t="e">
        <f>(R43+V43)*($AF43-$AG43)*(('Kalkylvärden 1'!$G$53*$AG43+#REF!)+('Kalkylvärden 1'!$G$53*$AF43+'Kalkylvärden 1'!$H$53))/2</f>
        <v>#DIV/0!</v>
      </c>
      <c r="AK43" s="188" t="e">
        <f>(S43+W43)*($AF43-$AG43)*(('Kalkylvärden 1'!$G$55*$AG43+'Kalkylvärden 1'!$H$55)+('Kalkylvärden 1'!$G$55*$AF43+'Kalkylvärden 1'!$H$55))/2</f>
        <v>#DIV/0!</v>
      </c>
      <c r="AL43" s="188" t="e">
        <f>ABS(T43)*($AF43-$AG43)/2*((#REF!*$AF43+#REF!)+(#REF!*$AG43+#REF!))/2</f>
        <v>#DIV/0!</v>
      </c>
      <c r="AM43" s="188" t="e">
        <f>ABS(U43)*($AF43-$AG43)/2*(('Kalkylvärden 1'!$G$56*$AF43+'Kalkylvärden 1'!$H$56)+('Kalkylvärden 1'!$G$56*$AG43+'Kalkylvärden 1'!$H$56))/2</f>
        <v>#DIV/0!</v>
      </c>
      <c r="AN43" s="188" t="e">
        <f>ABS(V43)*($AF43-$AG43)/2*(('Kalkylvärden 1'!$G$53*$AF43+'Kalkylvärden 1'!$H$53)+('Kalkylvärden 1'!$G$53*$AG43+'Kalkylvärden 1'!$H$53))/2</f>
        <v>#DIV/0!</v>
      </c>
      <c r="AO43" s="188" t="e">
        <f>ABS(W43)*($AF43-$AG43)/2*(('Kalkylvärden 1'!#REF!*$AF43+#REF!)+('Kalkylvärden 1'!#REF!*$AG43+#REF!))/2</f>
        <v>#DIV/0!</v>
      </c>
      <c r="AQ43" s="172" t="s">
        <v>457</v>
      </c>
    </row>
    <row r="44" spans="7:46" x14ac:dyDescent="0.25">
      <c r="G44" s="231" t="s">
        <v>458</v>
      </c>
      <c r="H44" s="261"/>
      <c r="I44" s="231" t="s">
        <v>1</v>
      </c>
      <c r="J44" s="261"/>
      <c r="K44" s="261"/>
      <c r="L44" s="261"/>
      <c r="M44" s="264"/>
      <c r="N44" s="61" t="e">
        <f t="shared" si="0"/>
        <v>#DIV/0!</v>
      </c>
      <c r="O44" s="61" t="e">
        <f t="shared" si="1"/>
        <v>#DIV/0!</v>
      </c>
      <c r="P44" s="151">
        <f t="shared" si="2"/>
        <v>0</v>
      </c>
      <c r="Q44" s="151">
        <f t="shared" si="3"/>
        <v>0</v>
      </c>
      <c r="R44" s="151">
        <f t="shared" si="4"/>
        <v>0</v>
      </c>
      <c r="S44" s="151">
        <f t="shared" si="5"/>
        <v>0</v>
      </c>
      <c r="T44" s="51">
        <f>IF($M44&gt;0,P44*($N44/100*'Kalkylvärden 1'!$B$19+O44/100*'Kalkylvärden 1'!$C$19),-P44)</f>
        <v>0</v>
      </c>
      <c r="U44" s="51">
        <f>IF($M44&gt;0,Q44*($N44/100*Projektspecifikt!B17+$O44/100*Projektspecifikt!C17),-Q44)</f>
        <v>0</v>
      </c>
      <c r="V44" s="51">
        <f>IF($M44&gt;0,R44*($N44/100*Projektspecifikt!B18+$O44/100*Projektspecifikt!C18),-R44)</f>
        <v>0</v>
      </c>
      <c r="W44" s="51">
        <f>IF(M44&gt;0,S44*($N44/100*Projektspecifikt!B19+$O44/100*Projektspecifikt!C19),-S44)</f>
        <v>0</v>
      </c>
      <c r="X44" s="51">
        <f>(P44+T44)*$K44*'Kalkylvärden 1'!$C$31/60</f>
        <v>0</v>
      </c>
      <c r="Y44" s="51">
        <f>(Q44+U44)*$K44*'Kalkylvärden 1'!$O$31/60</f>
        <v>0</v>
      </c>
      <c r="Z44" s="51">
        <f>(R44+V44)*$K44*'Kalkylvärden 1'!$B$31/60</f>
        <v>0</v>
      </c>
      <c r="AA44" s="51">
        <f>(S44+W44)*$K44*'Kalkylvärden 1'!$P$31/60</f>
        <v>0</v>
      </c>
      <c r="AB44" s="188">
        <f>ABS(T44)*$K44*'Kalkylvärden 1'!$C$31/(60*2)</f>
        <v>0</v>
      </c>
      <c r="AC44" s="188">
        <f>ABS(U44)*$K44*'Kalkylvärden 1'!$O$31/(60*2)</f>
        <v>0</v>
      </c>
      <c r="AD44" s="188">
        <f>ABS(V44)*$K44*'Kalkylvärden 1'!$B$31/(60*2)</f>
        <v>0</v>
      </c>
      <c r="AE44" s="188">
        <f>ABS(W44)*$K44*'Kalkylvärden 1'!$P$31/(60*2)</f>
        <v>0</v>
      </c>
      <c r="AF44" t="e">
        <f t="shared" si="6"/>
        <v>#DIV/0!</v>
      </c>
      <c r="AG44" t="e">
        <f t="shared" si="6"/>
        <v>#DIV/0!</v>
      </c>
      <c r="AH44" s="188" t="e">
        <f>(P44+T44)*($AF44-$AG44)*(('Kalkylvärden 1'!$G$54*AG44+'Kalkylvärden 1'!$H$54)+('Kalkylvärden 1'!$G$54*'Person UA1'!AF44+'Kalkylvärden 1'!$H$54))/2</f>
        <v>#DIV/0!</v>
      </c>
      <c r="AI44" s="188" t="e">
        <f>(Q44+U44)*($AF44-$AG44)*(('Kalkylvärden 1'!$G$56*'Person UA1'!AG44+'Kalkylvärden 1'!$H$56)+('Kalkylvärden 1'!$G$56*$AF44+'Kalkylvärden 1'!$H$56))/2</f>
        <v>#DIV/0!</v>
      </c>
      <c r="AJ44" s="188" t="e">
        <f>(R44+V44)*($AF44-$AG44)*(('Kalkylvärden 1'!$G$53*$AG44+#REF!)+('Kalkylvärden 1'!$G$53*$AF44+'Kalkylvärden 1'!$H$53))/2</f>
        <v>#DIV/0!</v>
      </c>
      <c r="AK44" s="188" t="e">
        <f>(S44+W44)*($AF44-$AG44)*(('Kalkylvärden 1'!$G$55*$AG44+'Kalkylvärden 1'!$H$55)+('Kalkylvärden 1'!$G$55*$AF44+'Kalkylvärden 1'!$H$55))/2</f>
        <v>#DIV/0!</v>
      </c>
      <c r="AL44" s="188" t="e">
        <f>ABS(T44)*($AF44-$AG44)/2*(('Kalkylvärden 1'!#REF!*$AF44+#REF!)+('Kalkylvärden 1'!#REF!*$AG44+#REF!))/2</f>
        <v>#DIV/0!</v>
      </c>
      <c r="AM44" s="188" t="e">
        <f>ABS(U44)*($AF44-$AG44)/2*(('Kalkylvärden 1'!$G$56*$AF44+'Kalkylvärden 1'!$H$56)+('Kalkylvärden 1'!$G$56*$AG44+'Kalkylvärden 1'!$H$56))/2</f>
        <v>#DIV/0!</v>
      </c>
      <c r="AN44" s="188" t="e">
        <f>ABS(V44)*($AF44-$AG44)/2*(('Kalkylvärden 1'!$G$53*$AF44+'Kalkylvärden 1'!$H$53)+('Kalkylvärden 1'!$G$53*$AG44+'Kalkylvärden 1'!$H$53))/2</f>
        <v>#DIV/0!</v>
      </c>
      <c r="AO44" s="188" t="e">
        <f>ABS(W44)*($AF44-$AG44)/2*(('Kalkylvärden 1'!G125*$AF44+#REF!)+('Kalkylvärden 1'!G125*$AG44+#REF!))/2</f>
        <v>#DIV/0!</v>
      </c>
    </row>
    <row r="45" spans="7:46" x14ac:dyDescent="0.25">
      <c r="G45" s="231" t="s">
        <v>459</v>
      </c>
      <c r="H45" s="261"/>
      <c r="I45" s="231" t="s">
        <v>1</v>
      </c>
      <c r="J45" s="261"/>
      <c r="K45" s="261"/>
      <c r="L45" s="261"/>
      <c r="M45" s="264"/>
      <c r="N45" s="61" t="e">
        <f t="shared" si="0"/>
        <v>#DIV/0!</v>
      </c>
      <c r="O45" s="61" t="e">
        <f t="shared" si="1"/>
        <v>#DIV/0!</v>
      </c>
      <c r="P45" s="151">
        <f t="shared" si="2"/>
        <v>0</v>
      </c>
      <c r="Q45" s="151">
        <f t="shared" si="3"/>
        <v>0</v>
      </c>
      <c r="R45" s="151">
        <f t="shared" si="4"/>
        <v>0</v>
      </c>
      <c r="S45" s="151">
        <f t="shared" si="5"/>
        <v>0</v>
      </c>
      <c r="T45" s="51">
        <f>IF($M45&gt;0,P45*($N45/100*'Kalkylvärden 1'!$B$19+O45/100*'Kalkylvärden 1'!$C$19),-P45)</f>
        <v>0</v>
      </c>
      <c r="U45" s="51">
        <f>IF($M45&gt;0,Q45*($N45/100*Projektspecifikt!B18+$O45/100*Projektspecifikt!C18),-Q45)</f>
        <v>0</v>
      </c>
      <c r="V45" s="51">
        <f>IF($M45&gt;0,R45*($N45/100*Projektspecifikt!B19+$O45/100*Projektspecifikt!C19),-R45)</f>
        <v>0</v>
      </c>
      <c r="W45" s="51">
        <f>IF(M45&gt;0,S45*($N45/100*Projektspecifikt!B20+$O45/100*Projektspecifikt!C20),-S45)</f>
        <v>0</v>
      </c>
      <c r="X45" s="51">
        <f>(P45+T45)*$K45*'Kalkylvärden 1'!$C$31/60</f>
        <v>0</v>
      </c>
      <c r="Y45" s="51">
        <f>(Q45+U45)*$K45*'Kalkylvärden 1'!$O$31/60</f>
        <v>0</v>
      </c>
      <c r="Z45" s="51">
        <f>(R45+V45)*$K45*'Kalkylvärden 1'!$B$31/60</f>
        <v>0</v>
      </c>
      <c r="AA45" s="51">
        <f>(S45+W45)*$K45*'Kalkylvärden 1'!$P$31/60</f>
        <v>0</v>
      </c>
      <c r="AB45" s="188">
        <f>ABS(T45)*$K45*'Kalkylvärden 1'!$C$31/(60*2)</f>
        <v>0</v>
      </c>
      <c r="AC45" s="188">
        <f>ABS(U45)*$K45*'Kalkylvärden 1'!$O$31/(60*2)</f>
        <v>0</v>
      </c>
      <c r="AD45" s="188">
        <f>ABS(V45)*$K45*'Kalkylvärden 1'!$B$31/(60*2)</f>
        <v>0</v>
      </c>
      <c r="AE45" s="188">
        <f>ABS(W45)*$K45*'Kalkylvärden 1'!$P$31/(60*2)</f>
        <v>0</v>
      </c>
      <c r="AF45" t="e">
        <f t="shared" si="6"/>
        <v>#DIV/0!</v>
      </c>
      <c r="AG45" t="e">
        <f t="shared" si="6"/>
        <v>#DIV/0!</v>
      </c>
      <c r="AH45" s="188" t="e">
        <f>(P45+T45)*($AF45-$AG45)*(('Kalkylvärden 1'!$G$54*AG45+'Kalkylvärden 1'!$H$54)+('Kalkylvärden 1'!$G$54*'Person UA1'!AF45+'Kalkylvärden 1'!$H$54))/2</f>
        <v>#DIV/0!</v>
      </c>
      <c r="AI45" s="188" t="e">
        <f>(Q45+U45)*($AF45-$AG45)*(('Kalkylvärden 1'!$G$56*'Person UA1'!AG45+'Kalkylvärden 1'!$H$56)+('Kalkylvärden 1'!$G$56*$AF45+'Kalkylvärden 1'!$H$56))/2</f>
        <v>#DIV/0!</v>
      </c>
      <c r="AJ45" s="188" t="e">
        <f>(R45+V45)*($AF45-$AG45)*(('Kalkylvärden 1'!$G$53*$AG45+#REF!)+('Kalkylvärden 1'!$G$53*$AF45+'Kalkylvärden 1'!$H$53))/2</f>
        <v>#DIV/0!</v>
      </c>
      <c r="AK45" s="188" t="e">
        <f>(S45+W45)*($AF45-$AG45)*(('Kalkylvärden 1'!$G$55*$AG45+'Kalkylvärden 1'!$H$55)+('Kalkylvärden 1'!$G$55*$AF45+'Kalkylvärden 1'!$H$55))/2</f>
        <v>#DIV/0!</v>
      </c>
      <c r="AL45" s="188" t="e">
        <f>ABS(T45)*($AF45-$AG45)/2*(('Kalkylvärden 1'!G125*$AF45+#REF!)+('Kalkylvärden 1'!G125*$AG45+#REF!))/2</f>
        <v>#DIV/0!</v>
      </c>
      <c r="AM45" s="188" t="e">
        <f>ABS(U45)*($AF45-$AG45)/2*(('Kalkylvärden 1'!$G$56*$AF45+'Kalkylvärden 1'!$H$56)+('Kalkylvärden 1'!$G$56*$AG45+'Kalkylvärden 1'!$H$56))/2</f>
        <v>#DIV/0!</v>
      </c>
      <c r="AN45" s="188" t="e">
        <f>ABS(V45)*($AF45-$AG45)/2*(('Kalkylvärden 1'!$G$53*$AF45+'Kalkylvärden 1'!$H$53)+('Kalkylvärden 1'!$G$53*$AG45+'Kalkylvärden 1'!$H$53))/2</f>
        <v>#DIV/0!</v>
      </c>
      <c r="AO45" s="188" t="e">
        <f>ABS(W45)*($AF45-$AG45)/2*(('Kalkylvärden 1'!G126*$AF45+#REF!)+('Kalkylvärden 1'!G126*$AG45+#REF!))/2</f>
        <v>#DIV/0!</v>
      </c>
    </row>
    <row r="46" spans="7:46" x14ac:dyDescent="0.25">
      <c r="H46">
        <f>IF(SUM(H32:H45)&gt;100,"MER ÄN 100%!",SUM(H32:H45))</f>
        <v>100</v>
      </c>
      <c r="T46" s="188">
        <f>SUMIF(T32:T45,"&lt;&gt;#DIVISION/0!")</f>
        <v>-2000</v>
      </c>
      <c r="U46" s="188">
        <f t="shared" ref="U46:AO46" si="7">SUMIF(U32:U45,"&lt;&gt;#DIVISION/0!")</f>
        <v>-500</v>
      </c>
      <c r="V46" s="188">
        <f t="shared" si="7"/>
        <v>-2000</v>
      </c>
      <c r="W46" s="188">
        <f t="shared" si="7"/>
        <v>-500</v>
      </c>
      <c r="X46" s="188">
        <f t="shared" si="7"/>
        <v>0</v>
      </c>
      <c r="Y46" s="188">
        <f t="shared" si="7"/>
        <v>0</v>
      </c>
      <c r="Z46" s="188">
        <f t="shared" si="7"/>
        <v>0</v>
      </c>
      <c r="AA46" s="188">
        <f t="shared" si="7"/>
        <v>0</v>
      </c>
      <c r="AB46" s="188">
        <f t="shared" si="7"/>
        <v>-56666.666666666664</v>
      </c>
      <c r="AC46" s="188">
        <f t="shared" si="7"/>
        <v>-48000</v>
      </c>
      <c r="AD46" s="188">
        <f t="shared" si="7"/>
        <v>-43733.333333333336</v>
      </c>
      <c r="AE46" s="188">
        <f t="shared" si="7"/>
        <v>-48000</v>
      </c>
      <c r="AF46" s="188">
        <f t="shared" si="7"/>
        <v>120</v>
      </c>
      <c r="AG46" s="188">
        <f t="shared" si="7"/>
        <v>0</v>
      </c>
      <c r="AH46" s="188">
        <f t="shared" si="7"/>
        <v>0</v>
      </c>
      <c r="AI46" s="188">
        <f t="shared" si="7"/>
        <v>0</v>
      </c>
      <c r="AJ46" s="188">
        <f t="shared" si="7"/>
        <v>0</v>
      </c>
      <c r="AK46" s="188">
        <f t="shared" si="7"/>
        <v>0</v>
      </c>
      <c r="AL46" s="188">
        <f t="shared" si="7"/>
        <v>0</v>
      </c>
      <c r="AM46" s="188">
        <f t="shared" si="7"/>
        <v>0</v>
      </c>
      <c r="AN46" s="188">
        <f t="shared" si="7"/>
        <v>0</v>
      </c>
      <c r="AO46" s="188">
        <f t="shared" si="7"/>
        <v>0</v>
      </c>
    </row>
    <row r="47" spans="7:46" x14ac:dyDescent="0.25">
      <c r="G47" s="68" t="s">
        <v>460</v>
      </c>
      <c r="T47" s="188"/>
      <c r="U47" s="188"/>
      <c r="V47" s="188"/>
      <c r="W47" s="188"/>
    </row>
    <row r="48" spans="7:46" x14ac:dyDescent="0.25">
      <c r="G48" s="191" t="s">
        <v>461</v>
      </c>
      <c r="T48" s="192" t="s">
        <v>462</v>
      </c>
      <c r="U48" s="188"/>
      <c r="V48" s="188"/>
      <c r="W48" s="188"/>
    </row>
    <row r="49" spans="1:37" x14ac:dyDescent="0.25">
      <c r="G49" s="172" t="s">
        <v>463</v>
      </c>
      <c r="T49" s="188">
        <f>SUM(T46:W46)</f>
        <v>-5000</v>
      </c>
      <c r="AI49" s="193"/>
    </row>
    <row r="50" spans="1:37" x14ac:dyDescent="0.25">
      <c r="G50" s="172" t="s">
        <v>464</v>
      </c>
      <c r="P50" s="187"/>
      <c r="AJ50">
        <f>([1]Kalkylvärden!$Q$28*'[1]UA1 Person'!$AG57+[1]Kalkylvärden!$R$28)</f>
        <v>0.50590000000000002</v>
      </c>
      <c r="AK50" t="s">
        <v>318</v>
      </c>
    </row>
    <row r="51" spans="1:37" x14ac:dyDescent="0.25">
      <c r="P51" s="1"/>
      <c r="AJ51">
        <f>([1]Kalkylvärden!$Q$28*'[1]UA1 Person'!$AF57+[1]Kalkylvärden!$R$28)</f>
        <v>0.54189999999999994</v>
      </c>
      <c r="AK51" t="s">
        <v>258</v>
      </c>
    </row>
    <row r="52" spans="1:37" ht="20.25" x14ac:dyDescent="0.3">
      <c r="A52" s="169" t="s">
        <v>465</v>
      </c>
      <c r="P52" s="194"/>
    </row>
    <row r="53" spans="1:37" ht="15.75" thickBot="1" x14ac:dyDescent="0.3">
      <c r="Y53" s="188"/>
    </row>
    <row r="54" spans="1:37" s="153" customFormat="1" ht="30" x14ac:dyDescent="0.25">
      <c r="B54" s="242" t="s">
        <v>258</v>
      </c>
      <c r="C54" s="242" t="s">
        <v>318</v>
      </c>
      <c r="E54" s="427" t="s">
        <v>466</v>
      </c>
      <c r="F54" s="404"/>
      <c r="G54" s="405" t="s">
        <v>538</v>
      </c>
      <c r="H54" s="404"/>
      <c r="I54" s="404"/>
      <c r="J54" s="404"/>
      <c r="K54" s="404"/>
      <c r="L54" s="406"/>
      <c r="AH54" s="243"/>
    </row>
    <row r="55" spans="1:37" x14ac:dyDescent="0.25">
      <c r="A55" t="s">
        <v>469</v>
      </c>
      <c r="B55" s="262">
        <v>10000</v>
      </c>
      <c r="C55" s="262">
        <v>0</v>
      </c>
      <c r="D55" s="245" t="s">
        <v>550</v>
      </c>
      <c r="E55" s="407" t="s">
        <v>467</v>
      </c>
      <c r="F55" s="501">
        <v>8</v>
      </c>
      <c r="G55" s="409" t="s">
        <v>544</v>
      </c>
      <c r="H55" s="410"/>
      <c r="I55" s="408"/>
      <c r="J55" s="408"/>
      <c r="K55" s="408"/>
      <c r="L55" s="411"/>
      <c r="AH55" s="192"/>
    </row>
    <row r="56" spans="1:37" x14ac:dyDescent="0.25">
      <c r="A56" t="s">
        <v>471</v>
      </c>
      <c r="B56" s="262">
        <v>2000</v>
      </c>
      <c r="C56" s="262">
        <v>0</v>
      </c>
      <c r="E56" s="407" t="s">
        <v>468</v>
      </c>
      <c r="F56" s="408">
        <v>70</v>
      </c>
      <c r="G56" s="409" t="s">
        <v>543</v>
      </c>
      <c r="H56" s="408"/>
      <c r="I56" s="408"/>
      <c r="J56" s="408"/>
      <c r="K56" s="408"/>
      <c r="L56" s="411"/>
      <c r="AH56" s="192"/>
    </row>
    <row r="57" spans="1:37" ht="60" x14ac:dyDescent="0.25">
      <c r="A57" t="s">
        <v>473</v>
      </c>
      <c r="B57" s="262">
        <v>0</v>
      </c>
      <c r="C57" s="262">
        <v>20000</v>
      </c>
      <c r="D57" s="263" t="s">
        <v>762</v>
      </c>
      <c r="E57" s="407" t="s">
        <v>470</v>
      </c>
      <c r="F57" s="408">
        <v>60</v>
      </c>
      <c r="G57" s="408"/>
      <c r="H57" s="408"/>
      <c r="I57" s="408"/>
      <c r="J57" s="408"/>
      <c r="K57" s="408"/>
      <c r="L57" s="411"/>
      <c r="AH57" s="192"/>
    </row>
    <row r="58" spans="1:37" ht="60" x14ac:dyDescent="0.25">
      <c r="A58" t="s">
        <v>475</v>
      </c>
      <c r="B58" s="262">
        <v>0</v>
      </c>
      <c r="C58" s="262">
        <v>4000</v>
      </c>
      <c r="D58" s="263" t="s">
        <v>761</v>
      </c>
      <c r="E58" s="407" t="s">
        <v>472</v>
      </c>
      <c r="F58" s="408">
        <v>320</v>
      </c>
      <c r="G58" s="408"/>
      <c r="H58" s="408"/>
      <c r="I58" s="408"/>
      <c r="J58" s="408"/>
      <c r="K58" s="408"/>
      <c r="L58" s="411"/>
      <c r="AH58" s="192"/>
    </row>
    <row r="59" spans="1:37" x14ac:dyDescent="0.25">
      <c r="E59" s="407" t="s">
        <v>474</v>
      </c>
      <c r="F59" s="408">
        <v>2</v>
      </c>
      <c r="G59" s="408"/>
      <c r="H59" s="340" t="s">
        <v>494</v>
      </c>
      <c r="I59" s="340"/>
      <c r="J59" s="340"/>
      <c r="K59" s="408"/>
      <c r="L59" s="411"/>
      <c r="AH59" s="192"/>
    </row>
    <row r="60" spans="1:37" ht="45" x14ac:dyDescent="0.25">
      <c r="E60" s="407" t="s">
        <v>476</v>
      </c>
      <c r="F60" s="412">
        <f>F55*F56*F58*F59</f>
        <v>358400</v>
      </c>
      <c r="G60" s="408"/>
      <c r="H60" s="413">
        <v>70</v>
      </c>
      <c r="I60" s="340" t="s">
        <v>495</v>
      </c>
      <c r="J60" s="428" t="s">
        <v>714</v>
      </c>
      <c r="K60" s="408"/>
      <c r="L60" s="411"/>
      <c r="AH60" s="192"/>
    </row>
    <row r="61" spans="1:37" x14ac:dyDescent="0.25">
      <c r="E61" s="407" t="s">
        <v>477</v>
      </c>
      <c r="F61" s="412">
        <f>F55*F57*F58*F59</f>
        <v>307200</v>
      </c>
      <c r="G61" s="408"/>
      <c r="H61" s="408"/>
      <c r="I61" s="408"/>
      <c r="J61" s="408"/>
      <c r="K61" s="408"/>
      <c r="L61" s="411"/>
      <c r="AH61" s="192"/>
    </row>
    <row r="62" spans="1:37" x14ac:dyDescent="0.25">
      <c r="E62" s="407"/>
      <c r="F62" s="408"/>
      <c r="G62" s="408"/>
      <c r="H62" s="408"/>
      <c r="I62" s="408"/>
      <c r="J62" s="408"/>
      <c r="K62" s="408"/>
      <c r="L62" s="411"/>
      <c r="AH62" s="192"/>
    </row>
    <row r="63" spans="1:37" x14ac:dyDescent="0.25">
      <c r="A63" t="s">
        <v>478</v>
      </c>
      <c r="B63" s="262">
        <v>0</v>
      </c>
      <c r="C63" s="172" t="s">
        <v>479</v>
      </c>
      <c r="E63" s="407"/>
      <c r="F63" s="408"/>
      <c r="G63" s="408"/>
      <c r="H63" s="408"/>
      <c r="I63" s="408"/>
      <c r="J63" s="408"/>
      <c r="K63" s="408"/>
      <c r="L63" s="411"/>
      <c r="AH63" s="192"/>
    </row>
    <row r="64" spans="1:37" x14ac:dyDescent="0.25">
      <c r="E64" s="407"/>
      <c r="F64" s="408"/>
      <c r="G64" s="409" t="s">
        <v>712</v>
      </c>
      <c r="H64" s="408"/>
      <c r="I64" s="408"/>
      <c r="J64" s="408"/>
      <c r="K64" s="408"/>
      <c r="L64" s="411"/>
    </row>
    <row r="65" spans="1:12" x14ac:dyDescent="0.25">
      <c r="B65" s="492" t="s">
        <v>258</v>
      </c>
      <c r="C65" s="492" t="s">
        <v>318</v>
      </c>
      <c r="E65" s="407"/>
      <c r="F65" s="408"/>
      <c r="G65" s="414"/>
      <c r="H65" s="415"/>
      <c r="I65" s="416" t="s">
        <v>480</v>
      </c>
      <c r="J65" s="416" t="s">
        <v>481</v>
      </c>
      <c r="K65" s="417"/>
      <c r="L65" s="411"/>
    </row>
    <row r="66" spans="1:12" x14ac:dyDescent="0.25">
      <c r="A66" t="s">
        <v>482</v>
      </c>
      <c r="B66" s="26">
        <f>IF($B63=0,B55*('Kalkylvärden 1'!$D$71),B55*('Kalkylvärden 1'!$D$68))</f>
        <v>409500</v>
      </c>
      <c r="C66" s="26">
        <f>IF($B63=0,C55*('Kalkylvärden 1'!$D$71),C55*('Kalkylvärden 1'!$D$68))</f>
        <v>0</v>
      </c>
      <c r="D66" t="s">
        <v>328</v>
      </c>
      <c r="E66" s="407"/>
      <c r="F66" s="408"/>
      <c r="G66" s="418" t="str">
        <f t="shared" ref="G66:G79" si="8">G32</f>
        <v>Stationsnamn 1</v>
      </c>
      <c r="H66" s="408"/>
      <c r="I66" s="410">
        <f>J32/60*H$60</f>
        <v>70</v>
      </c>
      <c r="J66" s="410">
        <f>I66*H32/100</f>
        <v>70</v>
      </c>
      <c r="K66" s="419"/>
      <c r="L66" s="411"/>
    </row>
    <row r="67" spans="1:12" x14ac:dyDescent="0.25">
      <c r="A67" t="s">
        <v>483</v>
      </c>
      <c r="B67" s="26">
        <f>IF($B63=0,B56*('Kalkylvärden 1'!$E$71),B56*('Kalkylvärden 1'!$E$68))</f>
        <v>142540</v>
      </c>
      <c r="C67" s="26">
        <f>IF($B63=0,C56*('Kalkylvärden 1'!$E$71),C56*('Kalkylvärden 1'!$E$68))</f>
        <v>0</v>
      </c>
      <c r="D67" t="s">
        <v>328</v>
      </c>
      <c r="E67" s="407"/>
      <c r="F67" s="408"/>
      <c r="G67" s="418" t="str">
        <f t="shared" si="8"/>
        <v>Stationsnamn 2</v>
      </c>
      <c r="H67" s="408"/>
      <c r="I67" s="410">
        <f t="shared" ref="I67:I79" si="9">J33/60*H$60</f>
        <v>0</v>
      </c>
      <c r="J67" s="410">
        <f t="shared" ref="J67:J79" si="10">I67*H33/100</f>
        <v>0</v>
      </c>
      <c r="K67" s="419"/>
      <c r="L67" s="411"/>
    </row>
    <row r="68" spans="1:12" x14ac:dyDescent="0.25">
      <c r="A68" t="s">
        <v>484</v>
      </c>
      <c r="B68" s="26">
        <f>B57*'Kalkylvärden 1'!$B$79</f>
        <v>0</v>
      </c>
      <c r="C68" s="26">
        <f>C57*'Kalkylvärden 1'!B79</f>
        <v>123400</v>
      </c>
      <c r="D68" t="s">
        <v>328</v>
      </c>
      <c r="E68" s="407"/>
      <c r="F68" s="408"/>
      <c r="G68" s="418" t="str">
        <f t="shared" si="8"/>
        <v>Stationsnamn 3</v>
      </c>
      <c r="H68" s="408"/>
      <c r="I68" s="410">
        <f>J34/60*H$60</f>
        <v>0</v>
      </c>
      <c r="J68" s="410">
        <f t="shared" si="10"/>
        <v>0</v>
      </c>
      <c r="K68" s="419"/>
      <c r="L68" s="411"/>
    </row>
    <row r="69" spans="1:12" x14ac:dyDescent="0.25">
      <c r="A69" t="s">
        <v>485</v>
      </c>
      <c r="B69" s="26">
        <f>B58*'Kalkylvärden 1'!$C$79</f>
        <v>0</v>
      </c>
      <c r="C69" s="26">
        <f>C58*'Kalkylvärden 1'!$C$79</f>
        <v>22760</v>
      </c>
      <c r="D69" t="s">
        <v>328</v>
      </c>
      <c r="E69" s="407"/>
      <c r="F69" s="408"/>
      <c r="G69" s="418" t="str">
        <f t="shared" si="8"/>
        <v>Stationsnamn 4</v>
      </c>
      <c r="H69" s="408"/>
      <c r="I69" s="410">
        <f t="shared" si="9"/>
        <v>0</v>
      </c>
      <c r="J69" s="410">
        <f t="shared" si="10"/>
        <v>0</v>
      </c>
      <c r="K69" s="419"/>
      <c r="L69" s="411"/>
    </row>
    <row r="70" spans="1:12" x14ac:dyDescent="0.25">
      <c r="B70" s="26">
        <f>SUM(B66:B69)</f>
        <v>552040</v>
      </c>
      <c r="C70" s="26">
        <f>SUM(C66:C69)</f>
        <v>146160</v>
      </c>
      <c r="D70" t="s">
        <v>328</v>
      </c>
      <c r="E70" s="407"/>
      <c r="F70" s="408"/>
      <c r="G70" s="418" t="str">
        <f t="shared" si="8"/>
        <v>Stationsnamn 5</v>
      </c>
      <c r="H70" s="408"/>
      <c r="I70" s="410">
        <f t="shared" si="9"/>
        <v>0</v>
      </c>
      <c r="J70" s="410">
        <f t="shared" si="10"/>
        <v>0</v>
      </c>
      <c r="K70" s="419"/>
      <c r="L70" s="411"/>
    </row>
    <row r="71" spans="1:12" x14ac:dyDescent="0.25">
      <c r="A71" s="231"/>
      <c r="E71" s="407"/>
      <c r="F71" s="408"/>
      <c r="G71" s="418" t="str">
        <f t="shared" si="8"/>
        <v>Stationsnamn 6</v>
      </c>
      <c r="H71" s="408"/>
      <c r="I71" s="410">
        <f t="shared" si="9"/>
        <v>0</v>
      </c>
      <c r="J71" s="410">
        <f t="shared" si="10"/>
        <v>0</v>
      </c>
      <c r="K71" s="419"/>
      <c r="L71" s="411"/>
    </row>
    <row r="72" spans="1:12" ht="18.75" x14ac:dyDescent="0.3">
      <c r="A72" s="680" t="s">
        <v>882</v>
      </c>
      <c r="B72" s="681">
        <f>(B68+B69-C68-C69)/1000000</f>
        <v>-0.14616000000000001</v>
      </c>
      <c r="C72" s="682" t="s">
        <v>222</v>
      </c>
      <c r="E72" s="407"/>
      <c r="F72" s="408"/>
      <c r="G72" s="418" t="str">
        <f t="shared" si="8"/>
        <v>Stationsnamn 7</v>
      </c>
      <c r="H72" s="408"/>
      <c r="I72" s="410">
        <f t="shared" si="9"/>
        <v>0</v>
      </c>
      <c r="J72" s="410">
        <f t="shared" si="10"/>
        <v>0</v>
      </c>
      <c r="K72" s="419"/>
      <c r="L72" s="411"/>
    </row>
    <row r="73" spans="1:12" ht="18.75" x14ac:dyDescent="0.3">
      <c r="A73" s="680" t="s">
        <v>883</v>
      </c>
      <c r="B73" s="681">
        <f>(B66+B67-C66-C67)/1000000</f>
        <v>0.55203999999999998</v>
      </c>
      <c r="C73" s="682" t="s">
        <v>222</v>
      </c>
      <c r="E73" s="407"/>
      <c r="F73" s="408"/>
      <c r="G73" s="418" t="str">
        <f t="shared" si="8"/>
        <v>Stationsnamn 8</v>
      </c>
      <c r="H73" s="408"/>
      <c r="I73" s="410">
        <f t="shared" si="9"/>
        <v>0</v>
      </c>
      <c r="J73" s="410">
        <f t="shared" si="10"/>
        <v>0</v>
      </c>
      <c r="K73" s="419"/>
      <c r="L73" s="411"/>
    </row>
    <row r="74" spans="1:12" x14ac:dyDescent="0.25">
      <c r="B74" s="1"/>
      <c r="C74" s="1"/>
      <c r="E74" s="407"/>
      <c r="F74" s="408"/>
      <c r="G74" s="418" t="str">
        <f t="shared" si="8"/>
        <v>Stationsnamn 9</v>
      </c>
      <c r="H74" s="408"/>
      <c r="I74" s="410">
        <f t="shared" si="9"/>
        <v>0</v>
      </c>
      <c r="J74" s="410">
        <f t="shared" si="10"/>
        <v>0</v>
      </c>
      <c r="K74" s="419"/>
      <c r="L74" s="411"/>
    </row>
    <row r="75" spans="1:12" ht="15.75" x14ac:dyDescent="0.25">
      <c r="A75" s="171" t="s">
        <v>486</v>
      </c>
      <c r="C75" s="1"/>
      <c r="E75" s="407"/>
      <c r="F75" s="408"/>
      <c r="G75" s="418" t="str">
        <f t="shared" si="8"/>
        <v>Stationsnamn 10</v>
      </c>
      <c r="H75" s="408"/>
      <c r="I75" s="410">
        <f t="shared" si="9"/>
        <v>0</v>
      </c>
      <c r="J75" s="410">
        <f t="shared" si="10"/>
        <v>0</v>
      </c>
      <c r="K75" s="419"/>
      <c r="L75" s="411"/>
    </row>
    <row r="76" spans="1:12" x14ac:dyDescent="0.25">
      <c r="A76" s="195"/>
      <c r="C76" s="487"/>
      <c r="D76" s="487"/>
      <c r="E76" s="407"/>
      <c r="F76" s="408"/>
      <c r="G76" s="418" t="str">
        <f t="shared" si="8"/>
        <v>Stationsnamn 11</v>
      </c>
      <c r="H76" s="408"/>
      <c r="I76" s="410">
        <f t="shared" si="9"/>
        <v>0</v>
      </c>
      <c r="J76" s="410">
        <f t="shared" si="10"/>
        <v>0</v>
      </c>
      <c r="K76" s="419"/>
      <c r="L76" s="411"/>
    </row>
    <row r="77" spans="1:12" x14ac:dyDescent="0.25">
      <c r="A77" s="178" t="s">
        <v>487</v>
      </c>
      <c r="C77" s="487"/>
      <c r="D77" s="487"/>
      <c r="E77" s="407"/>
      <c r="F77" s="408"/>
      <c r="G77" s="418" t="str">
        <f t="shared" si="8"/>
        <v>Stationsnamn 12</v>
      </c>
      <c r="H77" s="408"/>
      <c r="I77" s="410">
        <f t="shared" si="9"/>
        <v>0</v>
      </c>
      <c r="J77" s="410">
        <f t="shared" si="10"/>
        <v>0</v>
      </c>
      <c r="K77" s="419"/>
      <c r="L77" s="411"/>
    </row>
    <row r="78" spans="1:12" x14ac:dyDescent="0.25">
      <c r="A78" s="262">
        <v>65</v>
      </c>
      <c r="B78" t="s">
        <v>370</v>
      </c>
      <c r="C78" s="487"/>
      <c r="D78" s="487"/>
      <c r="E78" s="407"/>
      <c r="F78" s="408"/>
      <c r="G78" s="418" t="str">
        <f t="shared" si="8"/>
        <v>Stationsnamn 13</v>
      </c>
      <c r="H78" s="408"/>
      <c r="I78" s="410">
        <f t="shared" si="9"/>
        <v>0</v>
      </c>
      <c r="J78" s="410">
        <f t="shared" si="10"/>
        <v>0</v>
      </c>
      <c r="K78" s="419"/>
      <c r="L78" s="411"/>
    </row>
    <row r="79" spans="1:12" x14ac:dyDescent="0.25">
      <c r="A79" s="195"/>
      <c r="E79" s="407"/>
      <c r="F79" s="408"/>
      <c r="G79" s="418" t="str">
        <f t="shared" si="8"/>
        <v>Stationsnamn 14</v>
      </c>
      <c r="H79" s="408"/>
      <c r="I79" s="410">
        <f t="shared" si="9"/>
        <v>0</v>
      </c>
      <c r="J79" s="410">
        <f t="shared" si="10"/>
        <v>0</v>
      </c>
      <c r="K79" s="419"/>
      <c r="L79" s="411"/>
    </row>
    <row r="80" spans="1:12" x14ac:dyDescent="0.25">
      <c r="A80" s="178" t="s">
        <v>488</v>
      </c>
      <c r="E80" s="407"/>
      <c r="F80" s="408"/>
      <c r="G80" s="420"/>
      <c r="H80" s="421"/>
      <c r="I80" s="421"/>
      <c r="J80" s="422">
        <f>SUM(J66:J73)</f>
        <v>70</v>
      </c>
      <c r="K80" s="423" t="s">
        <v>489</v>
      </c>
      <c r="L80" s="411"/>
    </row>
    <row r="81" spans="1:12" ht="15.75" thickBot="1" x14ac:dyDescent="0.3">
      <c r="A81" s="683">
        <v>50</v>
      </c>
      <c r="B81" t="s">
        <v>1</v>
      </c>
      <c r="E81" s="424"/>
      <c r="F81" s="425"/>
      <c r="G81" s="425"/>
      <c r="H81" s="425"/>
      <c r="I81" s="425"/>
      <c r="J81" s="425"/>
      <c r="K81" s="425"/>
      <c r="L81" s="426"/>
    </row>
    <row r="82" spans="1:12" x14ac:dyDescent="0.25">
      <c r="A82" s="172" t="s">
        <v>490</v>
      </c>
    </row>
    <row r="83" spans="1:12" x14ac:dyDescent="0.25">
      <c r="C83" s="1"/>
    </row>
    <row r="84" spans="1:12" x14ac:dyDescent="0.25">
      <c r="A84" s="178" t="s">
        <v>491</v>
      </c>
      <c r="C84" s="1"/>
    </row>
    <row r="85" spans="1:12" x14ac:dyDescent="0.25">
      <c r="A85" s="36">
        <f>SUMIF(T32:W45,"&lt;&gt;#DIVISION/0!")</f>
        <v>-5000</v>
      </c>
      <c r="B85" s="36"/>
      <c r="C85" s="36"/>
      <c r="D85" s="20"/>
      <c r="E85" s="20"/>
    </row>
    <row r="86" spans="1:12" x14ac:dyDescent="0.25">
      <c r="A86" s="36"/>
      <c r="B86" s="36"/>
      <c r="C86" s="1"/>
    </row>
    <row r="87" spans="1:12" x14ac:dyDescent="0.25">
      <c r="A87" s="178" t="s">
        <v>492</v>
      </c>
      <c r="C87" s="1"/>
    </row>
    <row r="88" spans="1:12" x14ac:dyDescent="0.25">
      <c r="A88" s="197">
        <f>(A85*A81/100*A78)/1000000</f>
        <v>-0.16250000000000001</v>
      </c>
      <c r="B88" t="s">
        <v>222</v>
      </c>
      <c r="C88" s="36"/>
      <c r="D88" s="20"/>
      <c r="E88" s="20"/>
    </row>
    <row r="89" spans="1:12" x14ac:dyDescent="0.25">
      <c r="B89" s="1"/>
      <c r="C89" s="1"/>
    </row>
    <row r="90" spans="1:12" x14ac:dyDescent="0.25">
      <c r="B90" s="1"/>
      <c r="C90" s="1"/>
    </row>
    <row r="91" spans="1:12" ht="15.75" x14ac:dyDescent="0.25">
      <c r="A91" s="171" t="s">
        <v>335</v>
      </c>
    </row>
    <row r="92" spans="1:12" x14ac:dyDescent="0.25">
      <c r="H92" s="20"/>
    </row>
    <row r="93" spans="1:12" x14ac:dyDescent="0.25">
      <c r="H93" s="20"/>
    </row>
    <row r="94" spans="1:12" x14ac:dyDescent="0.25">
      <c r="H94" s="20"/>
    </row>
    <row r="96" spans="1:12" x14ac:dyDescent="0.25">
      <c r="A96" s="178" t="s">
        <v>496</v>
      </c>
    </row>
    <row r="97" spans="1:8" x14ac:dyDescent="0.25">
      <c r="A97" t="s">
        <v>497</v>
      </c>
      <c r="B97" s="244">
        <f>((-A85*J80*A81/100*1/'Kalkylvärden 1'!F137*'Kalkylvärden 1'!B159))/1000000</f>
        <v>-0.11524242877942285</v>
      </c>
      <c r="C97" t="s">
        <v>222</v>
      </c>
    </row>
    <row r="98" spans="1:8" x14ac:dyDescent="0.25">
      <c r="A98" t="s">
        <v>199</v>
      </c>
      <c r="B98" s="60">
        <f>((-A85*J80*A81/100*1/'Kalkylvärden 1'!F137*'Kalkylvärden 1'!B160))/1000000</f>
        <v>4.41468253968254E-2</v>
      </c>
      <c r="C98" t="s">
        <v>222</v>
      </c>
    </row>
    <row r="99" spans="1:8" x14ac:dyDescent="0.25">
      <c r="A99" t="s">
        <v>498</v>
      </c>
      <c r="B99" s="60">
        <f>SUM(B97:B98)</f>
        <v>-7.1095603382597461E-2</v>
      </c>
      <c r="C99" t="s">
        <v>222</v>
      </c>
    </row>
    <row r="100" spans="1:8" x14ac:dyDescent="0.25">
      <c r="A100" s="192" t="s">
        <v>499</v>
      </c>
      <c r="B100" s="20"/>
      <c r="C100" s="20"/>
      <c r="D100" s="26"/>
    </row>
    <row r="101" spans="1:8" x14ac:dyDescent="0.25">
      <c r="A101" t="s">
        <v>497</v>
      </c>
      <c r="B101" s="244">
        <f>(((C57-B57)*'Kalkylvärden 1'!B164)/1000000)</f>
        <v>-1.8089030313995873E-2</v>
      </c>
      <c r="C101" t="s">
        <v>222</v>
      </c>
      <c r="H101" s="20"/>
    </row>
    <row r="102" spans="1:8" x14ac:dyDescent="0.25">
      <c r="A102" s="192" t="s">
        <v>500</v>
      </c>
      <c r="B102" s="20"/>
      <c r="H102" s="20"/>
    </row>
    <row r="103" spans="1:8" x14ac:dyDescent="0.25">
      <c r="A103" t="s">
        <v>497</v>
      </c>
      <c r="B103" s="61">
        <f>(C55-B55)*IF(B63=0,'Kalkylvärden 1'!B170,'Kalkylvärden 1'!B169)/1000000</f>
        <v>0.31521962999014236</v>
      </c>
      <c r="C103" t="s">
        <v>222</v>
      </c>
      <c r="F103" s="197"/>
      <c r="H103" s="20"/>
    </row>
    <row r="104" spans="1:8" x14ac:dyDescent="0.25">
      <c r="B104" s="1"/>
      <c r="C104" s="1"/>
      <c r="H104" s="20"/>
    </row>
    <row r="105" spans="1:8" ht="15.75" x14ac:dyDescent="0.25">
      <c r="A105" s="171" t="s">
        <v>501</v>
      </c>
      <c r="C105" s="1"/>
      <c r="H105" s="20"/>
    </row>
    <row r="106" spans="1:8" x14ac:dyDescent="0.25">
      <c r="A106" s="3" t="s">
        <v>344</v>
      </c>
      <c r="C106" s="1"/>
      <c r="H106" s="20"/>
    </row>
    <row r="107" spans="1:8" x14ac:dyDescent="0.25">
      <c r="A107" s="3" t="s">
        <v>345</v>
      </c>
      <c r="C107" s="1"/>
      <c r="H107" s="20"/>
    </row>
    <row r="108" spans="1:8" x14ac:dyDescent="0.25">
      <c r="A108" s="262"/>
      <c r="B108" s="3" t="s">
        <v>222</v>
      </c>
      <c r="C108" s="1"/>
      <c r="H108" s="20"/>
    </row>
    <row r="109" spans="1:8" x14ac:dyDescent="0.25">
      <c r="A109" s="21" t="s">
        <v>346</v>
      </c>
      <c r="C109" s="1"/>
      <c r="H109" s="20"/>
    </row>
    <row r="110" spans="1:8" x14ac:dyDescent="0.25">
      <c r="C110" s="1"/>
      <c r="H110" s="20"/>
    </row>
    <row r="111" spans="1:8" x14ac:dyDescent="0.25">
      <c r="B111" s="1"/>
      <c r="C111" s="1"/>
      <c r="H111" s="20"/>
    </row>
    <row r="112" spans="1:8" x14ac:dyDescent="0.25">
      <c r="B112" s="1"/>
      <c r="C112" s="1"/>
      <c r="H112" s="20"/>
    </row>
    <row r="113" spans="1:108" x14ac:dyDescent="0.25">
      <c r="B113" s="1"/>
      <c r="C113" s="1"/>
      <c r="H113" s="20"/>
    </row>
    <row r="114" spans="1:108" ht="20.25" x14ac:dyDescent="0.3">
      <c r="A114" s="198" t="s">
        <v>347</v>
      </c>
      <c r="B114" s="1"/>
      <c r="C114" s="1"/>
      <c r="H114" s="20"/>
    </row>
    <row r="115" spans="1:108" x14ac:dyDescent="0.25">
      <c r="A115" s="172" t="s">
        <v>502</v>
      </c>
      <c r="B115" s="1"/>
      <c r="C115" s="1"/>
    </row>
    <row r="116" spans="1:108" x14ac:dyDescent="0.25">
      <c r="A116" s="172" t="s">
        <v>503</v>
      </c>
      <c r="B116" s="1"/>
      <c r="C116" s="1"/>
    </row>
    <row r="117" spans="1:108" x14ac:dyDescent="0.25">
      <c r="AH117" s="199"/>
      <c r="AI117" s="200"/>
      <c r="AJ117" s="200"/>
      <c r="AK117" s="201"/>
      <c r="AL117" s="201"/>
      <c r="AM117" s="1"/>
    </row>
    <row r="118" spans="1:108" x14ac:dyDescent="0.25">
      <c r="A118" s="39" t="s">
        <v>263</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108" s="11" customFormat="1" x14ac:dyDescent="0.25">
      <c r="A119" s="18" t="s">
        <v>207</v>
      </c>
      <c r="B119" s="22">
        <v>2025</v>
      </c>
      <c r="C119" s="11">
        <f>B119+1</f>
        <v>2026</v>
      </c>
      <c r="D119" s="11">
        <f t="shared" ref="D119:AP119" si="11">C119+1</f>
        <v>2027</v>
      </c>
      <c r="E119" s="11">
        <f t="shared" si="11"/>
        <v>2028</v>
      </c>
      <c r="F119" s="11">
        <f t="shared" si="11"/>
        <v>2029</v>
      </c>
      <c r="G119" s="11">
        <f t="shared" si="11"/>
        <v>2030</v>
      </c>
      <c r="H119" s="11">
        <f t="shared" si="11"/>
        <v>2031</v>
      </c>
      <c r="I119" s="11">
        <f t="shared" si="11"/>
        <v>2032</v>
      </c>
      <c r="J119" s="11">
        <f t="shared" si="11"/>
        <v>2033</v>
      </c>
      <c r="K119" s="11">
        <f t="shared" si="11"/>
        <v>2034</v>
      </c>
      <c r="L119" s="11">
        <f t="shared" si="11"/>
        <v>2035</v>
      </c>
      <c r="M119" s="11">
        <f t="shared" si="11"/>
        <v>2036</v>
      </c>
      <c r="N119" s="11">
        <f t="shared" si="11"/>
        <v>2037</v>
      </c>
      <c r="O119" s="11">
        <f t="shared" si="11"/>
        <v>2038</v>
      </c>
      <c r="P119" s="11">
        <f t="shared" si="11"/>
        <v>2039</v>
      </c>
      <c r="Q119" s="11">
        <f t="shared" si="11"/>
        <v>2040</v>
      </c>
      <c r="R119" s="11">
        <f t="shared" si="11"/>
        <v>2041</v>
      </c>
      <c r="S119" s="11">
        <f t="shared" si="11"/>
        <v>2042</v>
      </c>
      <c r="T119" s="11">
        <f t="shared" si="11"/>
        <v>2043</v>
      </c>
      <c r="U119" s="11">
        <f t="shared" si="11"/>
        <v>2044</v>
      </c>
      <c r="V119" s="11">
        <f t="shared" si="11"/>
        <v>2045</v>
      </c>
      <c r="W119" s="11">
        <f t="shared" si="11"/>
        <v>2046</v>
      </c>
      <c r="X119" s="11">
        <f t="shared" si="11"/>
        <v>2047</v>
      </c>
      <c r="Y119" s="11">
        <f t="shared" si="11"/>
        <v>2048</v>
      </c>
      <c r="Z119" s="11">
        <f t="shared" si="11"/>
        <v>2049</v>
      </c>
      <c r="AA119" s="11">
        <f t="shared" si="11"/>
        <v>2050</v>
      </c>
      <c r="AB119" s="11">
        <f t="shared" si="11"/>
        <v>2051</v>
      </c>
      <c r="AC119" s="11">
        <f t="shared" si="11"/>
        <v>2052</v>
      </c>
      <c r="AD119" s="11">
        <f t="shared" si="11"/>
        <v>2053</v>
      </c>
      <c r="AE119" s="11">
        <f t="shared" si="11"/>
        <v>2054</v>
      </c>
      <c r="AF119" s="11">
        <f t="shared" si="11"/>
        <v>2055</v>
      </c>
      <c r="AG119" s="11">
        <f t="shared" si="11"/>
        <v>2056</v>
      </c>
      <c r="AH119" s="11">
        <f t="shared" si="11"/>
        <v>2057</v>
      </c>
      <c r="AI119" s="11">
        <f t="shared" si="11"/>
        <v>2058</v>
      </c>
      <c r="AJ119" s="11">
        <f t="shared" si="11"/>
        <v>2059</v>
      </c>
      <c r="AK119" s="11">
        <f t="shared" si="11"/>
        <v>2060</v>
      </c>
      <c r="AL119" s="11">
        <f t="shared" si="11"/>
        <v>2061</v>
      </c>
      <c r="AM119" s="11">
        <f t="shared" si="11"/>
        <v>2062</v>
      </c>
      <c r="AN119" s="11">
        <f t="shared" si="11"/>
        <v>2063</v>
      </c>
      <c r="AO119" s="11">
        <f t="shared" si="11"/>
        <v>2064</v>
      </c>
      <c r="AP119" s="11">
        <f t="shared" si="11"/>
        <v>2065</v>
      </c>
    </row>
    <row r="120" spans="1:108" x14ac:dyDescent="0.25">
      <c r="A120" t="s">
        <v>235</v>
      </c>
      <c r="B120" s="1">
        <v>1</v>
      </c>
      <c r="C120" s="40">
        <f>B120*(1+'Kalkylvärden 1'!$D$9/100)</f>
        <v>1.0349999999999999</v>
      </c>
      <c r="D120" s="40">
        <f>C120*(1+'Kalkylvärden 1'!$D$9/100)</f>
        <v>1.0712249999999999</v>
      </c>
      <c r="E120" s="40">
        <f>D120*(1+'Kalkylvärden 1'!$D$9/100)</f>
        <v>1.1087178749999997</v>
      </c>
      <c r="F120" s="40">
        <f>E120*(1+'Kalkylvärden 1'!$D$9/100)</f>
        <v>1.1475230006249997</v>
      </c>
      <c r="G120" s="40">
        <f>F120*(1+'Kalkylvärden 1'!$D$9/100)</f>
        <v>1.1876863056468745</v>
      </c>
      <c r="H120" s="40">
        <f>G120*(1+'Kalkylvärden 1'!$D$9/100)</f>
        <v>1.229255326344515</v>
      </c>
      <c r="I120" s="40">
        <f>H120*(1+'Kalkylvärden 1'!$D$9/100)</f>
        <v>1.2722792627665729</v>
      </c>
      <c r="J120" s="40">
        <f>I120*(1+'Kalkylvärden 1'!$D$9/100)</f>
        <v>1.3168090369634029</v>
      </c>
      <c r="K120" s="40">
        <f>J120*(1+'Kalkylvärden 1'!$D$9/100)</f>
        <v>1.3628973532571218</v>
      </c>
      <c r="L120" s="40">
        <f>K120*(1+'Kalkylvärden 1'!$D$9/100)</f>
        <v>1.410598760621121</v>
      </c>
      <c r="M120" s="40">
        <f>L120*(1+'Kalkylvärden 1'!$D$9/100)</f>
        <v>1.4599697172428601</v>
      </c>
      <c r="N120" s="40">
        <f>M120*(1+'Kalkylvärden 1'!$D$9/100)</f>
        <v>1.5110686573463601</v>
      </c>
      <c r="O120" s="40">
        <f>N120*(1+'Kalkylvärden 1'!$D$9/100)</f>
        <v>1.5639560603534826</v>
      </c>
      <c r="P120" s="40">
        <f>O120*(1+'Kalkylvärden 1'!$D$9/100)</f>
        <v>1.6186945224658542</v>
      </c>
      <c r="Q120" s="40">
        <f>P120*(1+'Kalkylvärden 1'!$D$9/100)</f>
        <v>1.6753488307521589</v>
      </c>
      <c r="R120" s="40">
        <f>Q120*(1+'Kalkylvärden 1'!$D$9/100)</f>
        <v>1.7339860398284843</v>
      </c>
      <c r="S120" s="40">
        <f>R120*(1+'Kalkylvärden 1'!$D$9/100)</f>
        <v>1.7946755512224812</v>
      </c>
      <c r="T120" s="40">
        <f>S120*(1+'Kalkylvärden 1'!$D$9/100)</f>
        <v>1.8574891955152679</v>
      </c>
      <c r="U120" s="40">
        <f>T120*(1+'Kalkylvärden 1'!$D$9/100)</f>
        <v>1.9225013173583021</v>
      </c>
      <c r="V120" s="40">
        <f>U120*(1+'Kalkylvärden 1'!$D$9/100)</f>
        <v>1.9897888634658425</v>
      </c>
      <c r="W120" s="40">
        <f>V120*(1+'Kalkylvärden 1'!$D$9/100)</f>
        <v>2.0594314736871469</v>
      </c>
      <c r="X120" s="40">
        <f>W120*(1+'Kalkylvärden 1'!$D$9/100)</f>
        <v>2.1315115752661966</v>
      </c>
      <c r="Y120" s="40">
        <f>X120*(1+'Kalkylvärden 1'!$D$9/100)</f>
        <v>2.2061144804005135</v>
      </c>
      <c r="Z120" s="40">
        <f>Y120*(1+'Kalkylvärden 1'!$D$9/100)</f>
        <v>2.2833284872145314</v>
      </c>
      <c r="AA120" s="40">
        <f>Z120*(1+'Kalkylvärden 1'!$D$9/100)</f>
        <v>2.3632449842670398</v>
      </c>
      <c r="AB120" s="40">
        <f>AA120*(1+'Kalkylvärden 1'!$D$9/100)</f>
        <v>2.4459585587163861</v>
      </c>
      <c r="AC120" s="40">
        <f>AB120*(1+'Kalkylvärden 1'!$D$9/100)</f>
        <v>2.5315671082714593</v>
      </c>
      <c r="AD120" s="40">
        <f>AC120*(1+'Kalkylvärden 1'!$D$9/100)</f>
        <v>2.6201719570609603</v>
      </c>
      <c r="AE120" s="40">
        <f>AD120*(1+'Kalkylvärden 1'!$D$9/100)</f>
        <v>2.7118779755580937</v>
      </c>
      <c r="AF120" s="40">
        <f>AE120*(1+'Kalkylvärden 1'!$D$9/100)</f>
        <v>2.8067937047026268</v>
      </c>
      <c r="AG120" s="40">
        <f>AF120*(1+'Kalkylvärden 1'!$D$9/100)</f>
        <v>2.9050314843672185</v>
      </c>
      <c r="AH120" s="40">
        <f>AG120*(1+'Kalkylvärden 1'!$D$9/100)</f>
        <v>3.0067075863200707</v>
      </c>
      <c r="AI120" s="40">
        <f>AH120*(1+'Kalkylvärden 1'!$D$9/100)</f>
        <v>3.111942351841273</v>
      </c>
      <c r="AJ120" s="40">
        <f>AI120*(1+'Kalkylvärden 1'!$D$9/100)</f>
        <v>3.2208603341557174</v>
      </c>
      <c r="AK120" s="40">
        <f>AJ120*(1+'Kalkylvärden 1'!$D$9/100)</f>
        <v>3.3335904458511671</v>
      </c>
      <c r="AL120" s="40">
        <f>AK120*(1+'Kalkylvärden 1'!$D$9/100)</f>
        <v>3.4502661114559579</v>
      </c>
      <c r="AM120" s="40">
        <f>AL120*(1+'Kalkylvärden 1'!$D$9/100)</f>
        <v>3.571025425356916</v>
      </c>
      <c r="AN120" s="40">
        <f>AM120*(1+'Kalkylvärden 1'!$D$9/100)</f>
        <v>3.6960113152444078</v>
      </c>
      <c r="AO120" s="40">
        <f>AN120*(1+'Kalkylvärden 1'!$D$9/100)</f>
        <v>3.8253717112779619</v>
      </c>
      <c r="AP120" s="40">
        <f>AO120*(1+'Kalkylvärden 1'!$D$9/100)</f>
        <v>3.9592597211726903</v>
      </c>
      <c r="AQ120" s="40"/>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row>
    <row r="121" spans="1:108" x14ac:dyDescent="0.25">
      <c r="A121" t="s">
        <v>236</v>
      </c>
      <c r="B121" s="1">
        <v>1</v>
      </c>
      <c r="C121" s="40">
        <f>1/C120</f>
        <v>0.96618357487922713</v>
      </c>
      <c r="D121" s="40">
        <f t="shared" ref="D121:AP121" si="12">1/D120</f>
        <v>0.93351070036640305</v>
      </c>
      <c r="E121" s="40">
        <f t="shared" si="12"/>
        <v>0.90194270566802237</v>
      </c>
      <c r="F121" s="40">
        <f t="shared" si="12"/>
        <v>0.87144222769857238</v>
      </c>
      <c r="G121" s="40">
        <f t="shared" si="12"/>
        <v>0.84197316685852419</v>
      </c>
      <c r="H121" s="40">
        <f t="shared" si="12"/>
        <v>0.81350064430775293</v>
      </c>
      <c r="I121" s="40">
        <f t="shared" si="12"/>
        <v>0.78599096068381935</v>
      </c>
      <c r="J121" s="40">
        <f t="shared" si="12"/>
        <v>0.75941155621625056</v>
      </c>
      <c r="K121" s="40">
        <f t="shared" si="12"/>
        <v>0.73373097218961414</v>
      </c>
      <c r="L121" s="40">
        <f t="shared" si="12"/>
        <v>0.70891881370977217</v>
      </c>
      <c r="M121" s="40">
        <f t="shared" si="12"/>
        <v>0.68494571372924862</v>
      </c>
      <c r="N121" s="40">
        <f t="shared" si="12"/>
        <v>0.66178329828912907</v>
      </c>
      <c r="O121" s="40">
        <f t="shared" si="12"/>
        <v>0.63940415293635666</v>
      </c>
      <c r="P121" s="40">
        <f t="shared" si="12"/>
        <v>0.61778179027667324</v>
      </c>
      <c r="Q121" s="40">
        <f t="shared" si="12"/>
        <v>0.59689061862480508</v>
      </c>
      <c r="R121" s="40">
        <f t="shared" si="12"/>
        <v>0.57670591171478758</v>
      </c>
      <c r="S121" s="40">
        <f t="shared" si="12"/>
        <v>0.55720377943457733</v>
      </c>
      <c r="T121" s="40">
        <f t="shared" si="12"/>
        <v>0.53836113955031639</v>
      </c>
      <c r="U121" s="40">
        <f t="shared" si="12"/>
        <v>0.52015569038677911</v>
      </c>
      <c r="V121" s="40">
        <f t="shared" si="12"/>
        <v>0.50256588443167072</v>
      </c>
      <c r="W121" s="40">
        <f t="shared" si="12"/>
        <v>0.48557090283253213</v>
      </c>
      <c r="X121" s="40">
        <f t="shared" si="12"/>
        <v>0.46915063075606978</v>
      </c>
      <c r="Y121" s="40">
        <f t="shared" si="12"/>
        <v>0.45328563358074375</v>
      </c>
      <c r="Z121" s="40">
        <f t="shared" si="12"/>
        <v>0.43795713389443841</v>
      </c>
      <c r="AA121" s="40">
        <f t="shared" si="12"/>
        <v>0.42314698926998884</v>
      </c>
      <c r="AB121" s="40">
        <f t="shared" si="12"/>
        <v>0.40883767079225974</v>
      </c>
      <c r="AC121" s="40">
        <f t="shared" si="12"/>
        <v>0.39501224231136212</v>
      </c>
      <c r="AD121" s="40">
        <f t="shared" si="12"/>
        <v>0.38165434039745133</v>
      </c>
      <c r="AE121" s="40">
        <f t="shared" si="12"/>
        <v>0.36874815497338298</v>
      </c>
      <c r="AF121" s="40">
        <f t="shared" si="12"/>
        <v>0.35627841060230242</v>
      </c>
      <c r="AG121" s="40">
        <f t="shared" si="12"/>
        <v>0.34423034840802169</v>
      </c>
      <c r="AH121" s="40">
        <f t="shared" si="12"/>
        <v>0.33258970860678427</v>
      </c>
      <c r="AI121" s="40">
        <f t="shared" si="12"/>
        <v>0.32134271362974326</v>
      </c>
      <c r="AJ121" s="40">
        <f t="shared" si="12"/>
        <v>0.3104760518161771</v>
      </c>
      <c r="AK121" s="40">
        <f t="shared" si="12"/>
        <v>0.29997686165814214</v>
      </c>
      <c r="AL121" s="40">
        <f t="shared" si="12"/>
        <v>0.28983271657791515</v>
      </c>
      <c r="AM121" s="40">
        <f t="shared" si="12"/>
        <v>0.28003161022020789</v>
      </c>
      <c r="AN121" s="40">
        <f t="shared" si="12"/>
        <v>0.27056194224174679</v>
      </c>
      <c r="AO121" s="40">
        <f t="shared" si="12"/>
        <v>0.26141250458139786</v>
      </c>
      <c r="AP121" s="40">
        <f t="shared" si="12"/>
        <v>0.25257246819458734</v>
      </c>
      <c r="AQ121" s="40"/>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row>
    <row r="122" spans="1:108" x14ac:dyDescent="0.25">
      <c r="AI122" s="1"/>
      <c r="AJ122" s="1"/>
      <c r="AK122" s="1"/>
      <c r="AL122" s="1"/>
      <c r="AM122" s="1"/>
    </row>
    <row r="123" spans="1:108" s="11" customFormat="1" x14ac:dyDescent="0.25">
      <c r="A123" s="18" t="s">
        <v>207</v>
      </c>
      <c r="B123" s="22">
        <v>2025</v>
      </c>
      <c r="C123" s="11">
        <f>B123+1</f>
        <v>2026</v>
      </c>
      <c r="D123" s="11">
        <f t="shared" ref="D123:AP123" si="13">C123+1</f>
        <v>2027</v>
      </c>
      <c r="E123" s="11">
        <f t="shared" si="13"/>
        <v>2028</v>
      </c>
      <c r="F123" s="11">
        <f t="shared" si="13"/>
        <v>2029</v>
      </c>
      <c r="G123" s="11">
        <f t="shared" si="13"/>
        <v>2030</v>
      </c>
      <c r="H123" s="11">
        <f t="shared" si="13"/>
        <v>2031</v>
      </c>
      <c r="I123" s="11">
        <f t="shared" si="13"/>
        <v>2032</v>
      </c>
      <c r="J123" s="11">
        <f t="shared" si="13"/>
        <v>2033</v>
      </c>
      <c r="K123" s="11">
        <f t="shared" si="13"/>
        <v>2034</v>
      </c>
      <c r="L123" s="11">
        <f t="shared" si="13"/>
        <v>2035</v>
      </c>
      <c r="M123" s="11">
        <f t="shared" si="13"/>
        <v>2036</v>
      </c>
      <c r="N123" s="11">
        <f t="shared" si="13"/>
        <v>2037</v>
      </c>
      <c r="O123" s="11">
        <f t="shared" si="13"/>
        <v>2038</v>
      </c>
      <c r="P123" s="11">
        <f t="shared" si="13"/>
        <v>2039</v>
      </c>
      <c r="Q123" s="11">
        <f t="shared" si="13"/>
        <v>2040</v>
      </c>
      <c r="R123" s="11">
        <f t="shared" si="13"/>
        <v>2041</v>
      </c>
      <c r="S123" s="11">
        <f t="shared" si="13"/>
        <v>2042</v>
      </c>
      <c r="T123" s="11">
        <f t="shared" si="13"/>
        <v>2043</v>
      </c>
      <c r="U123" s="11">
        <f t="shared" si="13"/>
        <v>2044</v>
      </c>
      <c r="V123" s="11">
        <f t="shared" si="13"/>
        <v>2045</v>
      </c>
      <c r="W123" s="11">
        <f t="shared" si="13"/>
        <v>2046</v>
      </c>
      <c r="X123" s="11">
        <f t="shared" si="13"/>
        <v>2047</v>
      </c>
      <c r="Y123" s="11">
        <f t="shared" si="13"/>
        <v>2048</v>
      </c>
      <c r="Z123" s="11">
        <f t="shared" si="13"/>
        <v>2049</v>
      </c>
      <c r="AA123" s="11">
        <f t="shared" si="13"/>
        <v>2050</v>
      </c>
      <c r="AB123" s="11">
        <f t="shared" si="13"/>
        <v>2051</v>
      </c>
      <c r="AC123" s="11">
        <f t="shared" si="13"/>
        <v>2052</v>
      </c>
      <c r="AD123" s="11">
        <f t="shared" si="13"/>
        <v>2053</v>
      </c>
      <c r="AE123" s="11">
        <f t="shared" si="13"/>
        <v>2054</v>
      </c>
      <c r="AF123" s="11">
        <f t="shared" si="13"/>
        <v>2055</v>
      </c>
      <c r="AG123" s="11">
        <f t="shared" si="13"/>
        <v>2056</v>
      </c>
      <c r="AH123" s="11">
        <f t="shared" si="13"/>
        <v>2057</v>
      </c>
      <c r="AI123" s="11">
        <f t="shared" si="13"/>
        <v>2058</v>
      </c>
      <c r="AJ123" s="11">
        <f t="shared" si="13"/>
        <v>2059</v>
      </c>
      <c r="AK123" s="11">
        <f t="shared" si="13"/>
        <v>2060</v>
      </c>
      <c r="AL123" s="11">
        <f t="shared" si="13"/>
        <v>2061</v>
      </c>
      <c r="AM123" s="11">
        <f t="shared" si="13"/>
        <v>2062</v>
      </c>
      <c r="AN123" s="11">
        <f t="shared" si="13"/>
        <v>2063</v>
      </c>
      <c r="AO123" s="11">
        <f t="shared" si="13"/>
        <v>2064</v>
      </c>
      <c r="AP123" s="11">
        <f t="shared" si="13"/>
        <v>2065</v>
      </c>
    </row>
    <row r="125" spans="1:108" x14ac:dyDescent="0.25">
      <c r="A125" s="192" t="s">
        <v>504</v>
      </c>
    </row>
    <row r="126" spans="1:108" s="203" customFormat="1" x14ac:dyDescent="0.25">
      <c r="A126" s="202" t="s">
        <v>505</v>
      </c>
      <c r="B126" s="203">
        <f>IF(Diskontering!B16&lt;=Diskontering!$A$5,(SUM($X$46:$AE$46))/1000000*Diskontering!B25,0)</f>
        <v>-0.19639999999999999</v>
      </c>
      <c r="C126" s="203">
        <f>IF(Diskontering!C16&lt;=Diskontering!$A$5,(SUM($X$46:$AE$46))/1000000*Diskontering!C25,0)</f>
        <v>-0.19165603864734301</v>
      </c>
      <c r="D126" s="203">
        <f>IF(Diskontering!D16&lt;=Diskontering!$A$5,(SUM($X$46:$AE$46))/1000000*Diskontering!D25,0)</f>
        <v>-0.18702666573315596</v>
      </c>
      <c r="E126" s="203">
        <f>IF(Diskontering!E16&lt;=Diskontering!$A$5,(SUM($X$46:$AE$46))/1000000*Diskontering!E25,0)</f>
        <v>-0.18250911342076093</v>
      </c>
      <c r="F126" s="203">
        <f>IF(Diskontering!F16&lt;=Diskontering!$A$5,(SUM($X$46:$AE$46))/1000000*Diskontering!F25,0)</f>
        <v>-0.17810068072943822</v>
      </c>
      <c r="G126" s="203">
        <f>IF(Diskontering!G16&lt;=Diskontering!$A$5,(SUM($X$46:$AE$46))/1000000*Diskontering!G25,0)</f>
        <v>-0.17379873191954842</v>
      </c>
      <c r="H126" s="203">
        <f>IF(Diskontering!H16&lt;=Diskontering!$A$5,(SUM($X$46:$AE$46))/1000000*Diskontering!H25,0)</f>
        <v>-0.16960069491666077</v>
      </c>
      <c r="I126" s="203">
        <f>IF(Diskontering!I16&lt;=Diskontering!$A$5,(SUM($X$46:$AE$46))/1000000*Diskontering!I25,0)</f>
        <v>-0.1655040597737463</v>
      </c>
      <c r="J126" s="203">
        <f>IF(Diskontering!J16&lt;=Diskontering!$A$5,(SUM($X$46:$AE$46))/1000000*Diskontering!J25,0)</f>
        <v>-0.16150637717051569</v>
      </c>
      <c r="K126" s="203">
        <f>IF(Diskontering!K16&lt;=Diskontering!$A$5,(SUM($X$46:$AE$46))/1000000*Diskontering!K25,0)</f>
        <v>-0.15760525694900568</v>
      </c>
      <c r="L126" s="203">
        <f>IF(Diskontering!L16&lt;=Diskontering!$A$5,(SUM($X$46:$AE$46))/1000000*Diskontering!L25,0)</f>
        <v>-0.15379836668453697</v>
      </c>
      <c r="M126" s="203">
        <f>IF(Diskontering!M16&lt;=Diskontering!$A$5,(SUM($X$46:$AE$46))/1000000*Diskontering!M25,0)</f>
        <v>-0.1500834302911907</v>
      </c>
      <c r="N126" s="203">
        <f>IF(Diskontering!N16&lt;=Diskontering!$A$5,(SUM($X$46:$AE$46))/1000000*Diskontering!N25,0)</f>
        <v>-0.14645822666096872</v>
      </c>
      <c r="O126" s="203">
        <f>IF(Diskontering!O16&lt;=Diskontering!$A$5,(SUM($X$46:$AE$46))/1000000*Diskontering!O25,0)</f>
        <v>-0.14292058833582455</v>
      </c>
      <c r="P126" s="203">
        <f>IF(Diskontering!P16&lt;=Diskontering!$A$5,(SUM($X$46:$AE$46))/1000000*Diskontering!P25,0)</f>
        <v>-0.13946840021177084</v>
      </c>
      <c r="Q126" s="203">
        <f>IF(Diskontering!Q16&lt;=Diskontering!$A$5,(SUM($X$46:$AE$46))/1000000*Diskontering!Q25,0)</f>
        <v>-0.13609959827428847</v>
      </c>
      <c r="R126" s="203">
        <f>IF(Diskontering!R16&lt;=Diskontering!$A$5,(SUM($X$46:$AE$46))/1000000*Diskontering!R25,0)</f>
        <v>-0.1328121683642815</v>
      </c>
      <c r="S126" s="203">
        <f>IF(Diskontering!S16&lt;=Diskontering!$A$5,(SUM($X$46:$AE$46))/1000000*Diskontering!S25,0)</f>
        <v>-0.1296041449738399</v>
      </c>
      <c r="T126" s="203">
        <f>IF(Diskontering!T16&lt;=Diskontering!$A$5,(SUM($X$46:$AE$46))/1000000*Diskontering!T25,0)</f>
        <v>-0.1264736100710902</v>
      </c>
      <c r="U126" s="203">
        <f>IF(Diskontering!U16&lt;=Diskontering!$A$5,(SUM($X$46:$AE$46))/1000000*Diskontering!U25,0)</f>
        <v>-0.12341869195343101</v>
      </c>
      <c r="V126" s="203">
        <f>IF(Diskontering!V16&lt;=Diskontering!$A$5,(SUM($X$46:$AE$46))/1000000*Diskontering!V25,0)</f>
        <v>-0.12043756412846894</v>
      </c>
      <c r="W126" s="203">
        <f>IF(Diskontering!W16&lt;=Diskontering!$A$5,(SUM($X$46:$AE$46))/1000000*Diskontering!W25,0)</f>
        <v>-0.11752844422198419</v>
      </c>
      <c r="X126" s="203">
        <f>IF(Diskontering!X16&lt;=Diskontering!$A$5,(SUM($X$46:$AE$46))/1000000*Diskontering!X25,0)</f>
        <v>-0.11468959291227446</v>
      </c>
      <c r="Y126" s="203">
        <f>IF(Diskontering!Y16&lt;=Diskontering!$A$5,(SUM($X$46:$AE$46))/1000000*Diskontering!Y25,0)</f>
        <v>-0.11191931289023885</v>
      </c>
      <c r="Z126" s="203">
        <f>IF(Diskontering!Z16&lt;=Diskontering!$A$5,(SUM($X$46:$AE$46))/1000000*Diskontering!Z25,0)</f>
        <v>-0.10921594784458091</v>
      </c>
      <c r="AA126" s="203">
        <f>IF(Diskontering!AA16&lt;=Diskontering!$A$5,(SUM($X$46:$AE$46))/1000000*Diskontering!AA25,0)</f>
        <v>-0.1065778814715234</v>
      </c>
      <c r="AB126" s="203">
        <f>IF(Diskontering!AB16&lt;=Diskontering!$A$5,(SUM($X$46:$AE$46))/1000000*Diskontering!AB25,0)</f>
        <v>-0.10400353650844313</v>
      </c>
      <c r="AC126" s="203">
        <f>IF(Diskontering!AC16&lt;=Diskontering!$A$5,(SUM($X$46:$AE$46))/1000000*Diskontering!AC25,0)</f>
        <v>-0.10149137379084788</v>
      </c>
      <c r="AD126" s="203">
        <f>IF(Diskontering!AD16&lt;=Diskontering!$A$5,(SUM($X$46:$AE$46))/1000000*Diskontering!AD25,0)</f>
        <v>-9.9039891332131771E-2</v>
      </c>
      <c r="AE126" s="203">
        <f>IF(Diskontering!AE16&lt;=Diskontering!$A$5,(SUM($X$46:$AE$46))/1000000*Diskontering!AE25,0)</f>
        <v>-9.6647623425558563E-2</v>
      </c>
      <c r="AF126" s="203">
        <f>IF(Diskontering!AF16&lt;=Diskontering!$A$5,(SUM($X$46:$AE$46))/1000000*Diskontering!AF25,0)</f>
        <v>-9.4313139767936385E-2</v>
      </c>
      <c r="AG126" s="203">
        <f>IF(Diskontering!AG16&lt;=Diskontering!$A$5,(SUM($X$46:$AE$46))/1000000*Diskontering!AG25,0)</f>
        <v>-9.2035044604459659E-2</v>
      </c>
      <c r="AH126" s="203">
        <f>IF(Diskontering!AH16&lt;=Diskontering!$A$5,(SUM($X$46:$AE$46))/1000000*Diskontering!AH25,0)</f>
        <v>-8.981197589420703E-2</v>
      </c>
      <c r="AI126" s="203">
        <f>IF(Diskontering!AI16&lt;=Diskontering!$A$5,(SUM($X$46:$AE$46))/1000000*Diskontering!AI25,0)</f>
        <v>-8.7642604495796236E-2</v>
      </c>
      <c r="AJ126" s="203">
        <f>IF(Diskontering!AJ16&lt;=Diskontering!$A$5,(SUM($X$46:$AE$46))/1000000*Diskontering!AJ25,0)</f>
        <v>-8.5525633372709381E-2</v>
      </c>
      <c r="AK126" s="203">
        <f>IF(Diskontering!AK16&lt;=Diskontering!$A$5,(SUM($X$46:$AE$46))/1000000*Diskontering!AK25,0)</f>
        <v>-8.3459796817813015E-2</v>
      </c>
      <c r="AL126" s="203">
        <f>IF(Diskontering!AL16&lt;=Diskontering!$A$5,(SUM($X$46:$AE$46))/1000000*Diskontering!AL25,0)</f>
        <v>-8.1443859696609819E-2</v>
      </c>
      <c r="AM126" s="203">
        <f>IF(Diskontering!AM16&lt;=Diskontering!$A$5,(SUM($X$46:$AE$46))/1000000*Diskontering!AM25,0)</f>
        <v>-7.9476616708769002E-2</v>
      </c>
      <c r="AN126" s="203">
        <f>IF(Diskontering!AN16&lt;=Diskontering!$A$5,(SUM($X$46:$AE$46))/1000000*Diskontering!AN25,0)</f>
        <v>-7.755689166749441E-2</v>
      </c>
      <c r="AO126" s="203">
        <f>IF(Diskontering!AO16&lt;=Diskontering!$A$5,(SUM($X$46:$AE$46))/1000000*Diskontering!AO25,0)</f>
        <v>-7.5683536796298898E-2</v>
      </c>
      <c r="AP126" s="203">
        <f>IF(Diskontering!AP16&lt;=Diskontering!$A$5,(SUM($X$46:$AE$46))/1000000*Diskontering!AP25,0)</f>
        <v>-7.385543204276511E-2</v>
      </c>
    </row>
    <row r="127" spans="1:108" s="203" customFormat="1" x14ac:dyDescent="0.25">
      <c r="A127" s="202" t="s">
        <v>506</v>
      </c>
      <c r="B127" s="203">
        <f>IF(Diskontering!B16&lt;=Diskontering!$A$5,(SUM($AH$46:$AO$46))/1000000*Diskontering!B25,0)</f>
        <v>0</v>
      </c>
      <c r="C127" s="203">
        <f>IF(Diskontering!C16&lt;=Diskontering!$A$5,(SUM($AH$46:$AO$46))/1000000*Diskontering!C25,0)</f>
        <v>0</v>
      </c>
      <c r="D127" s="203">
        <f>IF(Diskontering!D16&lt;=Diskontering!$A$5,(SUM($AH$46:$AO$46))/1000000*Diskontering!D25,0)</f>
        <v>0</v>
      </c>
      <c r="E127" s="203">
        <f>IF(Diskontering!E16&lt;=Diskontering!$A$5,(SUM($AH$46:$AO$46))/1000000*Diskontering!E25,0)</f>
        <v>0</v>
      </c>
      <c r="F127" s="203">
        <f>IF(Diskontering!F16&lt;=Diskontering!$A$5,(SUM($AH$46:$AO$46))/1000000*Diskontering!F25,0)</f>
        <v>0</v>
      </c>
      <c r="G127" s="203">
        <f>IF(Diskontering!G16&lt;=Diskontering!$A$5,(SUM($AH$46:$AO$46))/1000000*Diskontering!G25,0)</f>
        <v>0</v>
      </c>
      <c r="H127" s="203">
        <f>IF(Diskontering!H16&lt;=Diskontering!$A$5,(SUM($AH$46:$AO$46))/1000000*Diskontering!H25,0)</f>
        <v>0</v>
      </c>
      <c r="I127" s="203">
        <f>IF(Diskontering!I16&lt;=Diskontering!$A$5,(SUM($AH$46:$AO$46))/1000000*Diskontering!I25,0)</f>
        <v>0</v>
      </c>
      <c r="J127" s="203">
        <f>IF(Diskontering!J16&lt;=Diskontering!$A$5,(SUM($AH$46:$AO$46))/1000000*Diskontering!J25,0)</f>
        <v>0</v>
      </c>
      <c r="K127" s="203">
        <f>IF(Diskontering!K16&lt;=Diskontering!$A$5,(SUM($AH$46:$AO$46))/1000000*Diskontering!K25,0)</f>
        <v>0</v>
      </c>
      <c r="L127" s="203">
        <f>IF(Diskontering!L16&lt;=Diskontering!$A$5,(SUM($AH$46:$AO$46))/1000000*Diskontering!L25,0)</f>
        <v>0</v>
      </c>
      <c r="M127" s="203">
        <f>IF(Diskontering!M16&lt;=Diskontering!$A$5,(SUM($AH$46:$AO$46))/1000000*Diskontering!M25,0)</f>
        <v>0</v>
      </c>
      <c r="N127" s="203">
        <f>IF(Diskontering!N16&lt;=Diskontering!$A$5,(SUM($AH$46:$AO$46))/1000000*Diskontering!N25,0)</f>
        <v>0</v>
      </c>
      <c r="O127" s="203">
        <f>IF(Diskontering!O16&lt;=Diskontering!$A$5,(SUM($AH$46:$AO$46))/1000000*Diskontering!O25,0)</f>
        <v>0</v>
      </c>
      <c r="P127" s="203">
        <f>IF(Diskontering!P16&lt;=Diskontering!$A$5,(SUM($AH$46:$AO$46))/1000000*Diskontering!P25,0)</f>
        <v>0</v>
      </c>
      <c r="Q127" s="203">
        <f>IF(Diskontering!Q16&lt;=Diskontering!$A$5,(SUM($AH$46:$AO$46))/1000000*Diskontering!Q25,0)</f>
        <v>0</v>
      </c>
      <c r="R127" s="203">
        <f>IF(Diskontering!R16&lt;=Diskontering!$A$5,(SUM($AH$46:$AO$46))/1000000*Diskontering!R25,0)</f>
        <v>0</v>
      </c>
      <c r="S127" s="203">
        <f>IF(Diskontering!S16&lt;=Diskontering!$A$5,(SUM($AH$46:$AO$46))/1000000*Diskontering!S25,0)</f>
        <v>0</v>
      </c>
      <c r="T127" s="203">
        <f>IF(Diskontering!T16&lt;=Diskontering!$A$5,(SUM($AH$46:$AO$46))/1000000*Diskontering!T25,0)</f>
        <v>0</v>
      </c>
      <c r="U127" s="203">
        <f>IF(Diskontering!U16&lt;=Diskontering!$A$5,(SUM($AH$46:$AO$46))/1000000*Diskontering!U25,0)</f>
        <v>0</v>
      </c>
      <c r="V127" s="203">
        <f>IF(Diskontering!V16&lt;=Diskontering!$A$5,(SUM($AH$46:$AO$46))/1000000*Diskontering!V25,0)</f>
        <v>0</v>
      </c>
      <c r="W127" s="203">
        <f>IF(Diskontering!W16&lt;=Diskontering!$A$5,(SUM($AH$46:$AO$46))/1000000*Diskontering!W25,0)</f>
        <v>0</v>
      </c>
      <c r="X127" s="203">
        <f>IF(Diskontering!X16&lt;=Diskontering!$A$5,(SUM($AH$46:$AO$46))/1000000*Diskontering!X25,0)</f>
        <v>0</v>
      </c>
      <c r="Y127" s="203">
        <f>IF(Diskontering!Y16&lt;=Diskontering!$A$5,(SUM($AH$46:$AO$46))/1000000*Diskontering!Y25,0)</f>
        <v>0</v>
      </c>
      <c r="Z127" s="203">
        <f>IF(Diskontering!Z16&lt;=Diskontering!$A$5,(SUM($AH$46:$AO$46))/1000000*Diskontering!Z25,0)</f>
        <v>0</v>
      </c>
      <c r="AA127" s="203">
        <f>IF(Diskontering!AA16&lt;=Diskontering!$A$5,(SUM($AH$46:$AO$46))/1000000*Diskontering!AA25,0)</f>
        <v>0</v>
      </c>
      <c r="AB127" s="203">
        <f>IF(Diskontering!AB16&lt;=Diskontering!$A$5,(SUM($AH$46:$AO$46))/1000000*Diskontering!AB25,0)</f>
        <v>0</v>
      </c>
      <c r="AC127" s="203">
        <f>IF(Diskontering!AC16&lt;=Diskontering!$A$5,(SUM($AH$46:$AO$46))/1000000*Diskontering!AC25,0)</f>
        <v>0</v>
      </c>
      <c r="AD127" s="203">
        <f>IF(Diskontering!AD16&lt;=Diskontering!$A$5,(SUM($AH$46:$AO$46))/1000000*Diskontering!AD25,0)</f>
        <v>0</v>
      </c>
      <c r="AE127" s="203">
        <f>IF(Diskontering!AE16&lt;=Diskontering!$A$5,(SUM($AH$46:$AO$46))/1000000*Diskontering!AE25,0)</f>
        <v>0</v>
      </c>
      <c r="AF127" s="203">
        <f>IF(Diskontering!AF16&lt;=Diskontering!$A$5,(SUM($AH$46:$AO$46))/1000000*Diskontering!AF25,0)</f>
        <v>0</v>
      </c>
      <c r="AG127" s="203">
        <f>IF(Diskontering!AG16&lt;=Diskontering!$A$5,(SUM($AH$46:$AO$46))/1000000*Diskontering!AG25,0)</f>
        <v>0</v>
      </c>
      <c r="AH127" s="203">
        <f>IF(Diskontering!AH16&lt;=Diskontering!$A$5,(SUM($AH$46:$AO$46))/1000000*Diskontering!AH25,0)</f>
        <v>0</v>
      </c>
      <c r="AI127" s="203">
        <f>IF(Diskontering!AI16&lt;=Diskontering!$A$5,(SUM($AH$46:$AO$46))/1000000*Diskontering!AI25,0)</f>
        <v>0</v>
      </c>
      <c r="AJ127" s="203">
        <f>IF(Diskontering!AJ16&lt;=Diskontering!$A$5,(SUM($AH$46:$AO$46))/1000000*Diskontering!AJ25,0)</f>
        <v>0</v>
      </c>
      <c r="AK127" s="203">
        <f>IF(Diskontering!AK16&lt;=Diskontering!$A$5,(SUM($AH$46:$AO$46))/1000000*Diskontering!AK25,0)</f>
        <v>0</v>
      </c>
      <c r="AL127" s="203">
        <f>IF(Diskontering!AL16&lt;=Diskontering!$A$5,(SUM($AH$46:$AO$46))/1000000*Diskontering!AL25,0)</f>
        <v>0</v>
      </c>
      <c r="AM127" s="203">
        <f>IF(Diskontering!AM16&lt;=Diskontering!$A$5,(SUM($AH$46:$AO$46))/1000000*Diskontering!AM25,0)</f>
        <v>0</v>
      </c>
      <c r="AN127" s="203">
        <f>IF(Diskontering!AN16&lt;=Diskontering!$A$5,(SUM($AH$46:$AO$46))/1000000*Diskontering!AN25,0)</f>
        <v>0</v>
      </c>
      <c r="AO127" s="203">
        <f>IF(Diskontering!AO16&lt;=Diskontering!$A$5,(SUM($AH$46:$AO$46))/1000000*Diskontering!AO25,0)</f>
        <v>0</v>
      </c>
      <c r="AP127" s="203">
        <f>IF(Diskontering!AP16&lt;=Diskontering!$A$5,(SUM($AH$46:$AO$46))/1000000*Diskontering!AP25,0)</f>
        <v>0</v>
      </c>
    </row>
    <row r="128" spans="1:108" s="203" customFormat="1" x14ac:dyDescent="0.25">
      <c r="A128" s="202" t="s">
        <v>52</v>
      </c>
      <c r="B128" s="203">
        <f>IF(Diskontering!B16&lt;=Diskontering!$A$5,($AS$41/1000000*Diskontering!B25),0)</f>
        <v>-4.5574999999999997E-2</v>
      </c>
      <c r="C128" s="203">
        <f>IF(Diskontering!C16&lt;=Diskontering!$A$5,($AS$41/1000000*Diskontering!C25),0)</f>
        <v>-4.4474154589371984E-2</v>
      </c>
      <c r="D128" s="203">
        <f>IF(Diskontering!D16&lt;=Diskontering!$A$5,($AS$41/1000000*Diskontering!D25),0)</f>
        <v>-4.3399899647599709E-2</v>
      </c>
      <c r="E128" s="203">
        <f>IF(Diskontering!E16&lt;=Diskontering!$A$5,($AS$41/1000000*Diskontering!E25),0)</f>
        <v>-4.2351592892826778E-2</v>
      </c>
      <c r="F128" s="203">
        <f>IF(Diskontering!F16&lt;=Diskontering!$A$5,($AS$41/1000000*Diskontering!F25),0)</f>
        <v>-4.1328607557251255E-2</v>
      </c>
      <c r="G128" s="203">
        <f>IF(Diskontering!G16&lt;=Diskontering!$A$5,($AS$41/1000000*Diskontering!G25),0)</f>
        <v>-4.033033201239012E-2</v>
      </c>
      <c r="H128" s="203">
        <f>IF(Diskontering!H16&lt;=Diskontering!$A$5,($AS$41/1000000*Diskontering!H25),0)</f>
        <v>-3.9356169403395189E-2</v>
      </c>
      <c r="I128" s="203">
        <f>IF(Diskontering!I16&lt;=Diskontering!$A$5,($AS$41/1000000*Diskontering!I25),0)</f>
        <v>-3.8405537292202072E-2</v>
      </c>
      <c r="J128" s="203">
        <f>IF(Diskontering!J16&lt;=Diskontering!$A$5,($AS$41/1000000*Diskontering!J25),0)</f>
        <v>-3.747786730929864E-2</v>
      </c>
      <c r="K128" s="203">
        <f>IF(Diskontering!K16&lt;=Diskontering!$A$5,($AS$41/1000000*Diskontering!K25),0)</f>
        <v>-3.6572604813904959E-2</v>
      </c>
      <c r="L128" s="203">
        <f>IF(Diskontering!L16&lt;=Diskontering!$A$5,($AS$41/1000000*Diskontering!L25),0)</f>
        <v>-3.5689208562361366E-2</v>
      </c>
      <c r="M128" s="203">
        <f>IF(Diskontering!M16&lt;=Diskontering!$A$5,($AS$41/1000000*Diskontering!M25),0)</f>
        <v>-3.4827150384526558E-2</v>
      </c>
      <c r="N128" s="203">
        <f>IF(Diskontering!N16&lt;=Diskontering!$A$5,($AS$41/1000000*Diskontering!N25),0)</f>
        <v>-3.3985914867992101E-2</v>
      </c>
      <c r="O128" s="203">
        <f>IF(Diskontering!O16&lt;=Diskontering!$A$5,($AS$41/1000000*Diskontering!O25),0)</f>
        <v>-3.3164999049924662E-2</v>
      </c>
      <c r="P128" s="203">
        <f>IF(Diskontering!P16&lt;=Diskontering!$A$5,($AS$41/1000000*Diskontering!P25),0)</f>
        <v>-3.2363912116351611E-2</v>
      </c>
      <c r="Q128" s="203">
        <f>IF(Diskontering!Q16&lt;=Diskontering!$A$5,($AS$41/1000000*Diskontering!Q25),0)</f>
        <v>-3.1582175108710267E-2</v>
      </c>
      <c r="R128" s="203">
        <f>IF(Diskontering!R16&lt;=Diskontering!$A$5,($AS$41/1000000*Diskontering!R25),0)</f>
        <v>-3.0819320637485385E-2</v>
      </c>
      <c r="S128" s="203">
        <f>IF(Diskontering!S16&lt;=Diskontering!$A$5,($AS$41/1000000*Diskontering!S25),0)</f>
        <v>-3.0074892602763512E-2</v>
      </c>
      <c r="T128" s="203">
        <f>IF(Diskontering!T16&lt;=Diskontering!$A$5,($AS$41/1000000*Diskontering!T25),0)</f>
        <v>-2.9348445921537351E-2</v>
      </c>
      <c r="U128" s="203">
        <f>IF(Diskontering!U16&lt;=Diskontering!$A$5,($AS$41/1000000*Diskontering!U25),0)</f>
        <v>-2.8639546261596836E-2</v>
      </c>
      <c r="V128" s="203">
        <f>IF(Diskontering!V16&lt;=Diskontering!$A$5,($AS$41/1000000*Diskontering!V25),0)</f>
        <v>-2.7947769781848125E-2</v>
      </c>
      <c r="W128" s="203">
        <f>IF(Diskontering!W16&lt;=Diskontering!$A$5,($AS$41/1000000*Diskontering!W25),0)</f>
        <v>-2.7272702878904934E-2</v>
      </c>
      <c r="X128" s="203">
        <f>IF(Diskontering!X16&lt;=Diskontering!$A$5,($AS$41/1000000*Diskontering!X25),0)</f>
        <v>-2.6613941939800958E-2</v>
      </c>
      <c r="Y128" s="203">
        <f>IF(Diskontering!Y16&lt;=Diskontering!$A$5,($AS$41/1000000*Diskontering!Y25),0)</f>
        <v>-2.5971093100675333E-2</v>
      </c>
      <c r="Z128" s="203">
        <f>IF(Diskontering!Z16&lt;=Diskontering!$A$5,($AS$41/1000000*Diskontering!Z25),0)</f>
        <v>-2.5343772011287045E-2</v>
      </c>
      <c r="AA128" s="203">
        <f>IF(Diskontering!AA16&lt;=Diskontering!$A$5,($AS$41/1000000*Diskontering!AA25),0)</f>
        <v>-2.4731603605217308E-2</v>
      </c>
      <c r="AB128" s="203">
        <f>IF(Diskontering!AB16&lt;=Diskontering!$A$5,($AS$41/1000000*Diskontering!AB25),0)</f>
        <v>-2.4134221875622686E-2</v>
      </c>
      <c r="AC128" s="203">
        <f>IF(Diskontering!AC16&lt;=Diskontering!$A$5,($AS$41/1000000*Diskontering!AC25),0)</f>
        <v>-2.3551269656404746E-2</v>
      </c>
      <c r="AD128" s="203">
        <f>IF(Diskontering!AD16&lt;=Diskontering!$A$5,($AS$41/1000000*Diskontering!AD25),0)</f>
        <v>-2.2982398408665505E-2</v>
      </c>
      <c r="AE128" s="203">
        <f>IF(Diskontering!AE16&lt;=Diskontering!$A$5,($AS$41/1000000*Diskontering!AE25),0)</f>
        <v>-2.2427268012320933E-2</v>
      </c>
      <c r="AF128" s="203">
        <f>IF(Diskontering!AF16&lt;=Diskontering!$A$5,($AS$41/1000000*Diskontering!AF25),0)</f>
        <v>-2.1885546562747969E-2</v>
      </c>
      <c r="AG128" s="203">
        <f>IF(Diskontering!AG16&lt;=Diskontering!$A$5,($AS$41/1000000*Diskontering!AG25),0)</f>
        <v>-2.1356910172343428E-2</v>
      </c>
      <c r="AH128" s="203">
        <f>IF(Diskontering!AH16&lt;=Diskontering!$A$5,($AS$41/1000000*Diskontering!AH25),0)</f>
        <v>-2.0841042776876196E-2</v>
      </c>
      <c r="AI128" s="203">
        <f>IF(Diskontering!AI16&lt;=Diskontering!$A$5,($AS$41/1000000*Diskontering!AI25),0)</f>
        <v>-2.0337635946516872E-2</v>
      </c>
      <c r="AJ128" s="203">
        <f>IF(Diskontering!AJ16&lt;=Diskontering!$A$5,($AS$41/1000000*Diskontering!AJ25),0)</f>
        <v>-1.9846388701431926E-2</v>
      </c>
      <c r="AK128" s="203">
        <f>IF(Diskontering!AK16&lt;=Diskontering!$A$5,($AS$41/1000000*Diskontering!AK25),0)</f>
        <v>-1.9367007331832119E-2</v>
      </c>
      <c r="AL128" s="203">
        <f>IF(Diskontering!AL16&lt;=Diskontering!$A$5,($AS$41/1000000*Diskontering!AL25),0)</f>
        <v>-1.8899205222367578E-2</v>
      </c>
      <c r="AM128" s="203">
        <f>IF(Diskontering!AM16&lt;=Diskontering!$A$5,($AS$41/1000000*Diskontering!AM25),0)</f>
        <v>-1.8442702680764499E-2</v>
      </c>
      <c r="AN128" s="203">
        <f>IF(Diskontering!AN16&lt;=Diskontering!$A$5,($AS$41/1000000*Diskontering!AN25),0)</f>
        <v>-1.7997226770601105E-2</v>
      </c>
      <c r="AO128" s="203">
        <f>IF(Diskontering!AO16&lt;=Diskontering!$A$5,($AS$41/1000000*Diskontering!AO25),0)</f>
        <v>-1.7562511148122822E-2</v>
      </c>
      <c r="AP128" s="203">
        <f>IF(Diskontering!AP16&lt;=Diskontering!$A$5,($AS$41/1000000*Diskontering!AP25),0)</f>
        <v>-1.7138295902999083E-2</v>
      </c>
    </row>
    <row r="129" spans="1:42" s="205" customFormat="1" x14ac:dyDescent="0.25">
      <c r="A129" s="204" t="s">
        <v>507</v>
      </c>
      <c r="B129" s="205">
        <f>SUM(B126:B128)</f>
        <v>-0.241975</v>
      </c>
      <c r="C129" s="205">
        <f t="shared" ref="C129:AP129" si="14">SUM(C126:C128)</f>
        <v>-0.236130193236715</v>
      </c>
      <c r="D129" s="205">
        <f t="shared" si="14"/>
        <v>-0.23042656538075568</v>
      </c>
      <c r="E129" s="205">
        <f t="shared" si="14"/>
        <v>-0.2248607063135877</v>
      </c>
      <c r="F129" s="205">
        <f t="shared" si="14"/>
        <v>-0.21942928828668948</v>
      </c>
      <c r="G129" s="205">
        <f t="shared" si="14"/>
        <v>-0.21412906393193853</v>
      </c>
      <c r="H129" s="205">
        <f t="shared" si="14"/>
        <v>-0.20895686432005595</v>
      </c>
      <c r="I129" s="205">
        <f t="shared" si="14"/>
        <v>-0.20390959706594836</v>
      </c>
      <c r="J129" s="205">
        <f t="shared" si="14"/>
        <v>-0.19898424447981433</v>
      </c>
      <c r="K129" s="205">
        <f t="shared" si="14"/>
        <v>-0.19417786176291063</v>
      </c>
      <c r="L129" s="205">
        <f t="shared" si="14"/>
        <v>-0.18948757524689835</v>
      </c>
      <c r="M129" s="205">
        <f t="shared" si="14"/>
        <v>-0.18491058067571725</v>
      </c>
      <c r="N129" s="205">
        <f t="shared" si="14"/>
        <v>-0.18044414152896082</v>
      </c>
      <c r="O129" s="205">
        <f t="shared" si="14"/>
        <v>-0.1760855873857492</v>
      </c>
      <c r="P129" s="205">
        <f t="shared" si="14"/>
        <v>-0.17183231232812246</v>
      </c>
      <c r="Q129" s="205">
        <f t="shared" si="14"/>
        <v>-0.16768177338299872</v>
      </c>
      <c r="R129" s="205">
        <f t="shared" si="14"/>
        <v>-0.16363148900176688</v>
      </c>
      <c r="S129" s="205">
        <f t="shared" si="14"/>
        <v>-0.1596790375766034</v>
      </c>
      <c r="T129" s="205">
        <f t="shared" si="14"/>
        <v>-0.15582205599262755</v>
      </c>
      <c r="U129" s="205">
        <f t="shared" si="14"/>
        <v>-0.15205823821502784</v>
      </c>
      <c r="V129" s="205">
        <f t="shared" si="14"/>
        <v>-0.14838533391031705</v>
      </c>
      <c r="W129" s="205">
        <f t="shared" si="14"/>
        <v>-0.14480114710088912</v>
      </c>
      <c r="X129" s="205">
        <f t="shared" si="14"/>
        <v>-0.14130353485207542</v>
      </c>
      <c r="Y129" s="205">
        <f t="shared" si="14"/>
        <v>-0.13789040599091418</v>
      </c>
      <c r="Z129" s="205">
        <f t="shared" si="14"/>
        <v>-0.13455971985586795</v>
      </c>
      <c r="AA129" s="205">
        <f t="shared" si="14"/>
        <v>-0.1313094850767407</v>
      </c>
      <c r="AB129" s="205">
        <f t="shared" si="14"/>
        <v>-0.12813775838406583</v>
      </c>
      <c r="AC129" s="205">
        <f t="shared" si="14"/>
        <v>-0.12504264344725263</v>
      </c>
      <c r="AD129" s="205">
        <f t="shared" si="14"/>
        <v>-0.12202228974079728</v>
      </c>
      <c r="AE129" s="205">
        <f t="shared" si="14"/>
        <v>-0.1190748914378795</v>
      </c>
      <c r="AF129" s="205">
        <f t="shared" si="14"/>
        <v>-0.11619868633068435</v>
      </c>
      <c r="AG129" s="205">
        <f t="shared" si="14"/>
        <v>-0.11339195477680308</v>
      </c>
      <c r="AH129" s="205">
        <f t="shared" si="14"/>
        <v>-0.11065301867108322</v>
      </c>
      <c r="AI129" s="205">
        <f t="shared" si="14"/>
        <v>-0.10798024044231311</v>
      </c>
      <c r="AJ129" s="205">
        <f t="shared" si="14"/>
        <v>-0.10537202207414131</v>
      </c>
      <c r="AK129" s="205">
        <f t="shared" si="14"/>
        <v>-0.10282680414964514</v>
      </c>
      <c r="AL129" s="205">
        <f t="shared" si="14"/>
        <v>-0.1003430649189774</v>
      </c>
      <c r="AM129" s="205">
        <f t="shared" si="14"/>
        <v>-9.7919319389533493E-2</v>
      </c>
      <c r="AN129" s="205">
        <f t="shared" si="14"/>
        <v>-9.5554118438095512E-2</v>
      </c>
      <c r="AO129" s="205">
        <f t="shared" si="14"/>
        <v>-9.324604794442172E-2</v>
      </c>
      <c r="AP129" s="205">
        <f t="shared" si="14"/>
        <v>-9.0993727945764186E-2</v>
      </c>
    </row>
    <row r="130" spans="1:42" x14ac:dyDescent="0.25">
      <c r="B130" s="206"/>
      <c r="C130" s="20"/>
    </row>
    <row r="131" spans="1:42" x14ac:dyDescent="0.25">
      <c r="B131" s="1" t="s">
        <v>269</v>
      </c>
      <c r="C131" s="1" t="s">
        <v>269</v>
      </c>
      <c r="D131" s="1" t="s">
        <v>269</v>
      </c>
      <c r="E131" s="1" t="s">
        <v>269</v>
      </c>
      <c r="F131" s="1" t="s">
        <v>269</v>
      </c>
      <c r="G131" s="1" t="s">
        <v>269</v>
      </c>
      <c r="H131" s="1" t="s">
        <v>269</v>
      </c>
      <c r="I131" s="1" t="s">
        <v>269</v>
      </c>
      <c r="J131" s="1" t="s">
        <v>269</v>
      </c>
      <c r="K131" s="1" t="s">
        <v>269</v>
      </c>
      <c r="L131" s="1" t="s">
        <v>269</v>
      </c>
      <c r="M131" s="1" t="s">
        <v>269</v>
      </c>
      <c r="N131" s="1" t="s">
        <v>269</v>
      </c>
      <c r="O131" s="1" t="s">
        <v>269</v>
      </c>
      <c r="P131" s="1" t="s">
        <v>269</v>
      </c>
      <c r="Q131" s="1" t="s">
        <v>269</v>
      </c>
      <c r="R131" s="1" t="s">
        <v>269</v>
      </c>
      <c r="S131" s="1" t="s">
        <v>269</v>
      </c>
      <c r="T131" s="1" t="s">
        <v>269</v>
      </c>
      <c r="U131" s="1" t="s">
        <v>269</v>
      </c>
      <c r="V131" s="1" t="s">
        <v>269</v>
      </c>
      <c r="W131" s="1" t="s">
        <v>269</v>
      </c>
      <c r="X131" s="1" t="s">
        <v>269</v>
      </c>
      <c r="Y131" s="1" t="s">
        <v>269</v>
      </c>
      <c r="Z131" s="1" t="s">
        <v>269</v>
      </c>
      <c r="AA131" s="1" t="s">
        <v>269</v>
      </c>
      <c r="AB131" s="1" t="s">
        <v>269</v>
      </c>
      <c r="AC131" s="1" t="s">
        <v>269</v>
      </c>
      <c r="AD131" s="1" t="s">
        <v>269</v>
      </c>
      <c r="AE131" s="1" t="s">
        <v>269</v>
      </c>
      <c r="AF131" s="1" t="s">
        <v>269</v>
      </c>
      <c r="AG131" s="1" t="s">
        <v>269</v>
      </c>
      <c r="AH131" s="1" t="s">
        <v>269</v>
      </c>
      <c r="AI131" s="1" t="s">
        <v>269</v>
      </c>
      <c r="AJ131" s="1" t="s">
        <v>269</v>
      </c>
      <c r="AK131" s="1" t="s">
        <v>269</v>
      </c>
      <c r="AL131" s="1" t="s">
        <v>269</v>
      </c>
      <c r="AM131" s="1" t="s">
        <v>269</v>
      </c>
      <c r="AN131" s="1" t="s">
        <v>269</v>
      </c>
      <c r="AO131" s="1" t="s">
        <v>269</v>
      </c>
      <c r="AP131" s="1" t="s">
        <v>269</v>
      </c>
    </row>
    <row r="132" spans="1:42" s="208" customFormat="1" ht="12.75" x14ac:dyDescent="0.2">
      <c r="A132" s="207" t="s">
        <v>508</v>
      </c>
      <c r="B132" s="208">
        <f>B129</f>
        <v>-0.241975</v>
      </c>
      <c r="C132" s="208">
        <f>B132+C129</f>
        <v>-0.47810519323671496</v>
      </c>
      <c r="D132" s="208">
        <f t="shared" ref="D132:AP132" si="15">C132+D129</f>
        <v>-0.70853175861747064</v>
      </c>
      <c r="E132" s="208">
        <f t="shared" si="15"/>
        <v>-0.93339246493105832</v>
      </c>
      <c r="F132" s="208">
        <f t="shared" si="15"/>
        <v>-1.1528217532177478</v>
      </c>
      <c r="G132" s="208">
        <f t="shared" si="15"/>
        <v>-1.3669508171496862</v>
      </c>
      <c r="H132" s="208">
        <f t="shared" si="15"/>
        <v>-1.5759076814697421</v>
      </c>
      <c r="I132" s="208">
        <f t="shared" si="15"/>
        <v>-1.7798172785356905</v>
      </c>
      <c r="J132" s="208">
        <f t="shared" si="15"/>
        <v>-1.9788015230155049</v>
      </c>
      <c r="K132" s="208">
        <f t="shared" si="15"/>
        <v>-2.1729793847784156</v>
      </c>
      <c r="L132" s="208">
        <f t="shared" si="15"/>
        <v>-2.3624669600253139</v>
      </c>
      <c r="M132" s="208">
        <f t="shared" si="15"/>
        <v>-2.5473775407010311</v>
      </c>
      <c r="N132" s="208">
        <f t="shared" si="15"/>
        <v>-2.7278216822299921</v>
      </c>
      <c r="O132" s="208">
        <f t="shared" si="15"/>
        <v>-2.9039072696157415</v>
      </c>
      <c r="P132" s="208">
        <f t="shared" si="15"/>
        <v>-3.0757395819438642</v>
      </c>
      <c r="Q132" s="208">
        <f t="shared" si="15"/>
        <v>-3.2434213553268627</v>
      </c>
      <c r="R132" s="208">
        <f t="shared" si="15"/>
        <v>-3.4070528443286294</v>
      </c>
      <c r="S132" s="208">
        <f t="shared" si="15"/>
        <v>-3.5667318819052327</v>
      </c>
      <c r="T132" s="208">
        <f t="shared" si="15"/>
        <v>-3.7225539378978603</v>
      </c>
      <c r="U132" s="208">
        <f t="shared" si="15"/>
        <v>-3.8746121761128882</v>
      </c>
      <c r="V132" s="208">
        <f t="shared" si="15"/>
        <v>-4.0229975100232052</v>
      </c>
      <c r="W132" s="208">
        <f t="shared" si="15"/>
        <v>-4.1677986571240941</v>
      </c>
      <c r="X132" s="208">
        <f t="shared" si="15"/>
        <v>-4.3091021919761694</v>
      </c>
      <c r="Y132" s="208">
        <f t="shared" si="15"/>
        <v>-4.4469925979670837</v>
      </c>
      <c r="Z132" s="208">
        <f t="shared" si="15"/>
        <v>-4.5815523178229514</v>
      </c>
      <c r="AA132" s="208">
        <f t="shared" si="15"/>
        <v>-4.7128618028996918</v>
      </c>
      <c r="AB132" s="208">
        <f t="shared" si="15"/>
        <v>-4.8409995612837573</v>
      </c>
      <c r="AC132" s="208">
        <f t="shared" si="15"/>
        <v>-4.9660422047310098</v>
      </c>
      <c r="AD132" s="208">
        <f t="shared" si="15"/>
        <v>-5.0880644944718068</v>
      </c>
      <c r="AE132" s="208">
        <f t="shared" si="15"/>
        <v>-5.2071393859096862</v>
      </c>
      <c r="AF132" s="208">
        <f t="shared" si="15"/>
        <v>-5.3233380722403707</v>
      </c>
      <c r="AG132" s="208">
        <f t="shared" si="15"/>
        <v>-5.4367300270171741</v>
      </c>
      <c r="AH132" s="208">
        <f t="shared" si="15"/>
        <v>-5.5473830456882576</v>
      </c>
      <c r="AI132" s="208">
        <f t="shared" si="15"/>
        <v>-5.6553632861305703</v>
      </c>
      <c r="AJ132" s="208">
        <f t="shared" si="15"/>
        <v>-5.7607353082047119</v>
      </c>
      <c r="AK132" s="208">
        <f t="shared" si="15"/>
        <v>-5.8635621123543569</v>
      </c>
      <c r="AL132" s="208">
        <f t="shared" si="15"/>
        <v>-5.9639051772733342</v>
      </c>
      <c r="AM132" s="208">
        <f t="shared" si="15"/>
        <v>-6.0618244966628678</v>
      </c>
      <c r="AN132" s="208">
        <f t="shared" si="15"/>
        <v>-6.1573786151009635</v>
      </c>
      <c r="AO132" s="208">
        <f t="shared" si="15"/>
        <v>-6.250624663045385</v>
      </c>
      <c r="AP132" s="208">
        <f t="shared" si="15"/>
        <v>-6.3416183909911492</v>
      </c>
    </row>
    <row r="134" spans="1:42" x14ac:dyDescent="0.25">
      <c r="A134" s="192" t="s">
        <v>509</v>
      </c>
    </row>
    <row r="135" spans="1:42" s="1" customFormat="1" x14ac:dyDescent="0.25">
      <c r="A135" s="3" t="s">
        <v>486</v>
      </c>
      <c r="B135" s="203">
        <f>IF(Diskontering!B16&lt;=Diskontering!$A$5,($A$88*Diskontering!B25),0)</f>
        <v>-0.16250000000000001</v>
      </c>
      <c r="C135" s="203">
        <f>IF(Diskontering!C16&lt;=Diskontering!$A$5,($A$88*Diskontering!C25),0)</f>
        <v>-0.15857487922705316</v>
      </c>
      <c r="D135" s="203">
        <f>IF(Diskontering!D16&lt;=Diskontering!$A$5,($A$88*Diskontering!D25),0)</f>
        <v>-0.15474456813461226</v>
      </c>
      <c r="E135" s="203">
        <f>IF(Diskontering!E16&lt;=Diskontering!$A$5,($A$88*Diskontering!E25),0)</f>
        <v>-0.15100677663377624</v>
      </c>
      <c r="F135" s="203">
        <f>IF(Diskontering!F16&lt;=Diskontering!$A$5,($A$88*Diskontering!F25),0)</f>
        <v>-0.14735926995180099</v>
      </c>
      <c r="G135" s="203">
        <f>IF(Diskontering!G16&lt;=Diskontering!$A$5,($A$88*Diskontering!G25),0)</f>
        <v>-0.14379986729596039</v>
      </c>
      <c r="H135" s="203">
        <f>IF(Diskontering!H16&lt;=Diskontering!$A$5,($A$88*Diskontering!H25),0)</f>
        <v>-0.14032644054968116</v>
      </c>
      <c r="I135" s="203">
        <f>IF(Diskontering!I16&lt;=Diskontering!$A$5,($A$88*Diskontering!I25),0)</f>
        <v>-0.13693691300017197</v>
      </c>
      <c r="J135" s="203">
        <f>IF(Diskontering!J16&lt;=Diskontering!$A$5,($A$88*Diskontering!J25),0)</f>
        <v>-0.13362925809678616</v>
      </c>
      <c r="K135" s="203">
        <f>IF(Diskontering!K16&lt;=Diskontering!$A$5,($A$88*Diskontering!K25),0)</f>
        <v>-0.13040149823937588</v>
      </c>
      <c r="L135" s="203">
        <f>IF(Diskontering!L16&lt;=Diskontering!$A$5,($A$88*Diskontering!L25),0)</f>
        <v>-0.12725170359591273</v>
      </c>
      <c r="M135" s="203">
        <f>IF(Diskontering!M16&lt;=Diskontering!$A$5,($A$88*Diskontering!M25),0)</f>
        <v>-0.12417799094866849</v>
      </c>
      <c r="N135" s="203">
        <f>IF(Diskontering!N16&lt;=Diskontering!$A$5,($A$88*Diskontering!N25),0)</f>
        <v>-0.12117852256826588</v>
      </c>
      <c r="O135" s="203">
        <f>IF(Diskontering!O16&lt;=Diskontering!$A$5,($A$88*Diskontering!O25),0)</f>
        <v>-0.11825150511492613</v>
      </c>
      <c r="P135" s="203">
        <f>IF(Diskontering!P16&lt;=Diskontering!$A$5,($A$88*Diskontering!P25),0)</f>
        <v>-0.11539518856625643</v>
      </c>
      <c r="Q135" s="203">
        <f>IF(Diskontering!Q16&lt;=Diskontering!$A$5,($A$88*Diskontering!Q25),0)</f>
        <v>-0.11260786517093624</v>
      </c>
      <c r="R135" s="203">
        <f>IF(Diskontering!R16&lt;=Diskontering!$A$5,($A$88*Diskontering!R25),0)</f>
        <v>-0.10988786842767692</v>
      </c>
      <c r="S135" s="203">
        <f>IF(Diskontering!S16&lt;=Diskontering!$A$5,($A$88*Diskontering!S25),0)</f>
        <v>-0.10723357208884413</v>
      </c>
      <c r="T135" s="203">
        <f>IF(Diskontering!T16&lt;=Diskontering!$A$5,($A$88*Diskontering!T25),0)</f>
        <v>-0.10464338918814745</v>
      </c>
      <c r="U135" s="203">
        <f>IF(Diskontering!U16&lt;=Diskontering!$A$5,($A$88*Diskontering!U25),0)</f>
        <v>-0.10211577109181538</v>
      </c>
      <c r="V135" s="203">
        <f>IF(Diskontering!V16&lt;=Diskontering!$A$5,($A$88*Diskontering!V25),0)</f>
        <v>-9.9649206572689428E-2</v>
      </c>
      <c r="W135" s="203">
        <f>IF(Diskontering!W16&lt;=Diskontering!$A$5,($A$88*Diskontering!W25),0)</f>
        <v>-9.7242220906682442E-2</v>
      </c>
      <c r="X135" s="203">
        <f>IF(Diskontering!X16&lt;=Diskontering!$A$5,($A$88*Diskontering!X25),0)</f>
        <v>-9.4893374991062124E-2</v>
      </c>
      <c r="Y135" s="203">
        <f>IF(Diskontering!Y16&lt;=Diskontering!$A$5,($A$88*Diskontering!Y25),0)</f>
        <v>-9.2601264484031637E-2</v>
      </c>
      <c r="Z135" s="203">
        <f>IF(Diskontering!Z16&lt;=Diskontering!$A$5,($A$88*Diskontering!Z25),0)</f>
        <v>-9.036451896509369E-2</v>
      </c>
      <c r="AA135" s="203">
        <f>IF(Diskontering!AA16&lt;=Diskontering!$A$5,($A$88*Diskontering!AA25),0)</f>
        <v>-8.8181801115695291E-2</v>
      </c>
      <c r="AB135" s="203">
        <f>IF(Diskontering!AB16&lt;=Diskontering!$A$5,($A$88*Diskontering!AB25),0)</f>
        <v>-8.6051805919664007E-2</v>
      </c>
      <c r="AC135" s="203">
        <f>IF(Diskontering!AC16&lt;=Diskontering!$A$5,($A$88*Diskontering!AC25),0)</f>
        <v>-8.3973259882957146E-2</v>
      </c>
      <c r="AD135" s="203">
        <f>IF(Diskontering!AD16&lt;=Diskontering!$A$5,($A$88*Diskontering!AD25),0)</f>
        <v>-8.1944920272257707E-2</v>
      </c>
      <c r="AE135" s="203">
        <f>IF(Diskontering!AE16&lt;=Diskontering!$A$5,($A$88*Diskontering!AE25),0)</f>
        <v>-7.996557437196164E-2</v>
      </c>
      <c r="AF135" s="203">
        <f>IF(Diskontering!AF16&lt;=Diskontering!$A$5,($A$88*Diskontering!AF25),0)</f>
        <v>-7.8034038759112342E-2</v>
      </c>
      <c r="AG135" s="203">
        <f>IF(Diskontering!AG16&lt;=Diskontering!$A$5,($A$88*Diskontering!AG25),0)</f>
        <v>-7.6149158595848754E-2</v>
      </c>
      <c r="AH135" s="203">
        <f>IF(Diskontering!AH16&lt;=Diskontering!$A$5,($A$88*Diskontering!AH25),0)</f>
        <v>-7.4309806938944206E-2</v>
      </c>
      <c r="AI135" s="203">
        <f>IF(Diskontering!AI16&lt;=Diskontering!$A$5,($A$88*Diskontering!AI25),0)</f>
        <v>-7.2514884066022856E-2</v>
      </c>
      <c r="AJ135" s="203">
        <f>IF(Diskontering!AJ16&lt;=Diskontering!$A$5,($A$88*Diskontering!AJ25),0)</f>
        <v>-7.07633168180513E-2</v>
      </c>
      <c r="AK135" s="203">
        <f>IF(Diskontering!AK16&lt;=Diskontering!$A$5,($A$88*Diskontering!AK25),0)</f>
        <v>-6.9054057957711898E-2</v>
      </c>
      <c r="AL135" s="203">
        <f>IF(Diskontering!AL16&lt;=Diskontering!$A$5,($A$88*Diskontering!AL25),0)</f>
        <v>-6.7386085543274424E-2</v>
      </c>
      <c r="AM135" s="203">
        <f>IF(Diskontering!AM16&lt;=Diskontering!$A$5,($A$88*Diskontering!AM25),0)</f>
        <v>-6.5758402317591461E-2</v>
      </c>
      <c r="AN135" s="203">
        <f>IF(Diskontering!AN16&lt;=Diskontering!$A$5,($A$88*Diskontering!AN25),0)</f>
        <v>-6.4170035111852555E-2</v>
      </c>
      <c r="AO135" s="203">
        <f>IF(Diskontering!AO16&lt;=Diskontering!$A$5,($A$88*Diskontering!AO25),0)</f>
        <v>-6.2620034263740187E-2</v>
      </c>
      <c r="AP135" s="203">
        <f>IF(Diskontering!AP16&lt;=Diskontering!$A$5,($A$88*Diskontering!AP25),0)</f>
        <v>-6.1107473049640183E-2</v>
      </c>
    </row>
    <row r="136" spans="1:42" s="673" customFormat="1" x14ac:dyDescent="0.25">
      <c r="A136" s="678" t="s">
        <v>887</v>
      </c>
      <c r="B136" s="684">
        <f>IF(Diskontering!B16&lt;=Diskontering!$A$5,($B$72*Diskontering!B25),0)</f>
        <v>-0.14616000000000001</v>
      </c>
      <c r="C136" s="684">
        <f>IF(Diskontering!C16&lt;=Diskontering!$A$5,($B$72*Diskontering!C25),0)</f>
        <v>-0.14262956521739134</v>
      </c>
      <c r="D136" s="684">
        <f>IF(Diskontering!D16&lt;=Diskontering!$A$5,($B$72*Diskontering!D25),0)</f>
        <v>-0.13918440663726109</v>
      </c>
      <c r="E136" s="684">
        <f>IF(Diskontering!E16&lt;=Diskontering!$A$5,($B$72*Diskontering!E25),0)</f>
        <v>-0.13582246444795529</v>
      </c>
      <c r="F136" s="684">
        <f>IF(Diskontering!F16&lt;=Diskontering!$A$5,($B$72*Diskontering!F25),0)</f>
        <v>-0.1325417285917245</v>
      </c>
      <c r="G136" s="684">
        <f>IF(Diskontering!G16&lt;=Diskontering!$A$5,($B$72*Diskontering!G25),0)</f>
        <v>-0.12934023756293891</v>
      </c>
      <c r="H136" s="684">
        <f>IF(Diskontering!H16&lt;=Diskontering!$A$5,($B$72*Diskontering!H25),0)</f>
        <v>-0.12621607723533168</v>
      </c>
      <c r="I136" s="684">
        <f>IF(Diskontering!I16&lt;=Diskontering!$A$5,($B$72*Diskontering!I25),0)</f>
        <v>-0.12316737971757007</v>
      </c>
      <c r="J136" s="684">
        <f>IF(Diskontering!J16&lt;=Diskontering!$A$5,($B$72*Diskontering!J25),0)</f>
        <v>-0.12019232223646933</v>
      </c>
      <c r="K136" s="684">
        <f>IF(Diskontering!K16&lt;=Diskontering!$A$5,($B$72*Diskontering!K25),0)</f>
        <v>-0.11728912604718265</v>
      </c>
      <c r="L136" s="684">
        <f>IF(Diskontering!L16&lt;=Diskontering!$A$5,($B$72*Diskontering!L25),0)</f>
        <v>-0.1144560553697145</v>
      </c>
      <c r="M136" s="684">
        <f>IF(Diskontering!M16&lt;=Diskontering!$A$5,($B$72*Diskontering!M25),0)</f>
        <v>-0.11169141635112238</v>
      </c>
      <c r="N136" s="684">
        <f>IF(Diskontering!N16&lt;=Diskontering!$A$5,($B$72*Diskontering!N25),0)</f>
        <v>-0.1089935560527861</v>
      </c>
      <c r="O136" s="684">
        <f>IF(Diskontering!O16&lt;=Diskontering!$A$5,($B$72*Diskontering!O25),0)</f>
        <v>-0.10636086146213911</v>
      </c>
      <c r="P136" s="684">
        <f>IF(Diskontering!P16&lt;=Diskontering!$A$5,($B$72*Diskontering!P25),0)</f>
        <v>-0.10379175852827102</v>
      </c>
      <c r="Q136" s="684">
        <f>IF(Diskontering!Q16&lt;=Diskontering!$A$5,($B$72*Diskontering!Q25),0)</f>
        <v>-0.10128471122082487</v>
      </c>
      <c r="R136" s="684">
        <f>IF(Diskontering!R16&lt;=Diskontering!$A$5,($B$72*Diskontering!R25),0)</f>
        <v>-9.8838220611626212E-2</v>
      </c>
      <c r="S136" s="684">
        <f>IF(Diskontering!S16&lt;=Diskontering!$A$5,($B$72*Diskontering!S25),0)</f>
        <v>-9.6450823978495123E-2</v>
      </c>
      <c r="T136" s="684">
        <f>IF(Diskontering!T16&lt;=Diskontering!$A$5,($B$72*Diskontering!T25),0)</f>
        <v>-9.4121093930705418E-2</v>
      </c>
      <c r="U136" s="684">
        <f>IF(Diskontering!U16&lt;=Diskontering!$A$5,($B$72*Diskontering!U25),0)</f>
        <v>-9.1847637555567616E-2</v>
      </c>
      <c r="V136" s="684">
        <f>IF(Diskontering!V16&lt;=Diskontering!$A$5,($B$72*Diskontering!V25),0)</f>
        <v>-8.9629095585626387E-2</v>
      </c>
      <c r="W136" s="684">
        <f>IF(Diskontering!W16&lt;=Diskontering!$A$5,($B$72*Diskontering!W25),0)</f>
        <v>-8.7464141585973584E-2</v>
      </c>
      <c r="X136" s="684">
        <f>IF(Diskontering!X16&lt;=Diskontering!$A$5,($B$72*Diskontering!X25),0)</f>
        <v>-8.5351481161191622E-2</v>
      </c>
      <c r="Y136" s="684">
        <f>IF(Diskontering!Y16&lt;=Diskontering!$A$5,($B$72*Diskontering!Y25),0)</f>
        <v>-8.3289851181452712E-2</v>
      </c>
      <c r="Z136" s="684">
        <f>IF(Diskontering!Z16&lt;=Diskontering!$A$5,($B$72*Diskontering!Z25),0)</f>
        <v>-8.1278019027311355E-2</v>
      </c>
      <c r="AA136" s="684">
        <f>IF(Diskontering!AA16&lt;=Diskontering!$A$5,($B$72*Diskontering!AA25),0)</f>
        <v>-7.9314781852738617E-2</v>
      </c>
      <c r="AB136" s="684">
        <f>IF(Diskontering!AB16&lt;=Diskontering!$A$5,($B$72*Diskontering!AB25),0)</f>
        <v>-7.7398965865957486E-2</v>
      </c>
      <c r="AC136" s="684">
        <f>IF(Diskontering!AC16&lt;=Diskontering!$A$5,($B$72*Diskontering!AC25),0)</f>
        <v>-7.5529425627649333E-2</v>
      </c>
      <c r="AD136" s="684">
        <f>IF(Diskontering!AD16&lt;=Diskontering!$A$5,($B$72*Diskontering!AD25),0)</f>
        <v>-7.3705043366111916E-2</v>
      </c>
      <c r="AE136" s="684">
        <f>IF(Diskontering!AE16&lt;=Diskontering!$A$5,($B$72*Diskontering!AE25),0)</f>
        <v>-7.1924728308959476E-2</v>
      </c>
      <c r="AF136" s="684">
        <f>IF(Diskontering!AF16&lt;=Diskontering!$A$5,($B$72*Diskontering!AF25),0)</f>
        <v>-7.0187416030965288E-2</v>
      </c>
      <c r="AG136" s="684">
        <f>IF(Diskontering!AG16&lt;=Diskontering!$A$5,($B$72*Diskontering!AG25),0)</f>
        <v>-6.849206781765696E-2</v>
      </c>
      <c r="AH136" s="684">
        <f>IF(Diskontering!AH16&lt;=Diskontering!$A$5,($B$72*Diskontering!AH25),0)</f>
        <v>-6.6837670044283606E-2</v>
      </c>
      <c r="AI136" s="684">
        <f>IF(Diskontering!AI16&lt;=Diskontering!$A$5,($B$72*Diskontering!AI25),0)</f>
        <v>-6.5223233569784003E-2</v>
      </c>
      <c r="AJ136" s="684">
        <f>IF(Diskontering!AJ16&lt;=Diskontering!$A$5,($B$72*Diskontering!AJ25),0)</f>
        <v>-6.3647793145393108E-2</v>
      </c>
      <c r="AK136" s="684">
        <f>IF(Diskontering!AK16&lt;=Diskontering!$A$5,($B$72*Diskontering!AK25),0)</f>
        <v>-6.2110406837533362E-2</v>
      </c>
      <c r="AL136" s="684">
        <f>IF(Diskontering!AL16&lt;=Diskontering!$A$5,($B$72*Diskontering!AL25),0)</f>
        <v>-6.0610155464646091E-2</v>
      </c>
      <c r="AM136" s="684">
        <f>IF(Diskontering!AM16&lt;=Diskontering!$A$5,($B$72*Diskontering!AM25),0)</f>
        <v>-5.9146142047625659E-2</v>
      </c>
      <c r="AN136" s="684">
        <f>IF(Diskontering!AN16&lt;=Diskontering!$A$5,($B$72*Diskontering!AN25),0)</f>
        <v>-5.7717491273528432E-2</v>
      </c>
      <c r="AO136" s="684">
        <f>IF(Diskontering!AO16&lt;=Diskontering!$A$5,($B$72*Diskontering!AO25),0)</f>
        <v>-5.6323348972235475E-2</v>
      </c>
      <c r="AP136" s="684">
        <f>IF(Diskontering!AP16&lt;=Diskontering!$A$5,($B$72*Diskontering!AP25),0)</f>
        <v>-5.4962881605756367E-2</v>
      </c>
    </row>
    <row r="137" spans="1:42" s="673" customFormat="1" x14ac:dyDescent="0.25">
      <c r="A137" s="678" t="s">
        <v>889</v>
      </c>
      <c r="B137" s="684">
        <f>IF(Diskontering!B16&lt;=Diskontering!$A$5,($B$73*Diskontering!B24),0)</f>
        <v>0.55203999999999998</v>
      </c>
      <c r="C137" s="684">
        <f>IF(Diskontering!C16&lt;=Diskontering!$A$5,($B$73*Diskontering!C24),0)</f>
        <v>0.52618255565842131</v>
      </c>
      <c r="D137" s="684">
        <f>IF(Diskontering!D16&lt;=Diskontering!$A$5,($B$73*Diskontering!D24),0)</f>
        <v>0.5015362688921593</v>
      </c>
      <c r="E137" s="684">
        <f>IF(Diskontering!E16&lt;=Diskontering!$A$5,($B$73*Diskontering!E24),0)</f>
        <v>0.47804440932009568</v>
      </c>
      <c r="F137" s="684">
        <f>IF(Diskontering!F16&lt;=Diskontering!$A$5,($B$73*Diskontering!F24),0)</f>
        <v>0.45565290380093554</v>
      </c>
      <c r="G137" s="684">
        <f>IF(Diskontering!G16&lt;=Diskontering!$A$5,($B$73*Diskontering!G24),0)</f>
        <v>0.43431021196862019</v>
      </c>
      <c r="H137" s="684">
        <f>IF(Diskontering!H16&lt;=Diskontering!$A$5,($B$73*Diskontering!H24),0)</f>
        <v>0.41396720759763656</v>
      </c>
      <c r="I137" s="684">
        <f>IF(Diskontering!I16&lt;=Diskontering!$A$5,($B$73*Diskontering!I24),0)</f>
        <v>0.39457706552515154</v>
      </c>
      <c r="J137" s="684">
        <f>IF(Diskontering!J16&lt;=Diskontering!$A$5,($B$73*Diskontering!J24),0)</f>
        <v>0.37609515386969172</v>
      </c>
      <c r="K137" s="684">
        <f>IF(Diskontering!K16&lt;=Diskontering!$A$5,($B$73*Diskontering!K24),0)</f>
        <v>0.35847893129827846</v>
      </c>
      <c r="L137" s="684">
        <f>IF(Diskontering!L16&lt;=Diskontering!$A$5,($B$73*Diskontering!L24),0)</f>
        <v>0.34168784910555</v>
      </c>
      <c r="M137" s="684">
        <f>IF(Diskontering!M16&lt;=Diskontering!$A$5,($B$73*Diskontering!M24),0)</f>
        <v>0.3256832578794786</v>
      </c>
      <c r="N137" s="684">
        <f>IF(Diskontering!N16&lt;=Diskontering!$A$5,($B$73*Diskontering!N24),0)</f>
        <v>0.31042831853884634</v>
      </c>
      <c r="O137" s="684">
        <f>IF(Diskontering!O16&lt;=Diskontering!$A$5,($B$73*Diskontering!O24),0)</f>
        <v>0.29588791753770866</v>
      </c>
      <c r="P137" s="684">
        <f>IF(Diskontering!P16&lt;=Diskontering!$A$5,($B$73*Diskontering!P24),0)</f>
        <v>0.28202858604166331</v>
      </c>
      <c r="Q137" s="684">
        <f>IF(Diskontering!Q16&lt;=Diskontering!$A$5,($B$73*Diskontering!Q24),0)</f>
        <v>0.26881842288988733</v>
      </c>
      <c r="R137" s="684">
        <f>IF(Diskontering!R16&lt;=Diskontering!$A$5,($B$73*Diskontering!R24),0)</f>
        <v>0.25622702116561691</v>
      </c>
      <c r="S137" s="684">
        <f>IF(Diskontering!S16&lt;=Diskontering!$A$5,($B$73*Diskontering!S24),0)</f>
        <v>0.24422539820605157</v>
      </c>
      <c r="T137" s="684">
        <f>IF(Diskontering!T16&lt;=Diskontering!$A$5,($B$73*Diskontering!T24),0)</f>
        <v>0.23278592889058022</v>
      </c>
      <c r="U137" s="684">
        <f>IF(Diskontering!U16&lt;=Diskontering!$A$5,($B$73*Diskontering!U24),0)</f>
        <v>0.22188228205377333</v>
      </c>
      <c r="V137" s="684">
        <f>IF(Diskontering!V16&lt;=Diskontering!$A$5,($B$73*Diskontering!V24),0)</f>
        <v>0.21148935987677911</v>
      </c>
      <c r="W137" s="684">
        <f>IF(Diskontering!W16&lt;=Diskontering!$A$5,($B$73*Diskontering!W24),0)</f>
        <v>0.20158324011761328</v>
      </c>
      <c r="X137" s="684">
        <f>IF(Diskontering!X16&lt;=Diskontering!$A$5,($B$73*Diskontering!X24),0)</f>
        <v>0.19214112104737155</v>
      </c>
      <c r="Y137" s="684">
        <f>IF(Diskontering!Y16&lt;=Diskontering!$A$5,($B$73*Diskontering!Y24),0)</f>
        <v>0.18314126896561853</v>
      </c>
      <c r="Z137" s="684">
        <f>IF(Diskontering!Z16&lt;=Diskontering!$A$5,($B$73*Diskontering!Z24),0)</f>
        <v>0.17456296817414585</v>
      </c>
      <c r="AA137" s="684">
        <f>IF(Diskontering!AA16&lt;=Diskontering!$A$5,($B$73*Diskontering!AA24),0)</f>
        <v>0.16638647329394923</v>
      </c>
      <c r="AB137" s="684">
        <f>IF(Diskontering!AB16&lt;=Diskontering!$A$5,($B$73*Diskontering!AB24),0)</f>
        <v>0.15859296381566892</v>
      </c>
      <c r="AC137" s="684">
        <f>IF(Diskontering!AC16&lt;=Diskontering!$A$5,($B$73*Diskontering!AC24),0)</f>
        <v>0.15116450077887872</v>
      </c>
      <c r="AD137" s="684">
        <f>IF(Diskontering!AD16&lt;=Diskontering!$A$5,($B$73*Diskontering!AD24),0)</f>
        <v>0.14408398548050838</v>
      </c>
      <c r="AE137" s="684">
        <f>IF(Diskontering!AE16&lt;=Diskontering!$A$5,($B$73*Diskontering!AE24),0)</f>
        <v>0.13733512011735524</v>
      </c>
      <c r="AF137" s="684">
        <f>IF(Diskontering!AF16&lt;=Diskontering!$A$5,($B$73*Diskontering!AF24),0)</f>
        <v>0.13090237027209306</v>
      </c>
      <c r="AG137" s="684">
        <f>IF(Diskontering!AG16&lt;=Diskontering!$A$5,($B$73*Diskontering!AG24),0)</f>
        <v>0.12477092915642869</v>
      </c>
      <c r="AH137" s="684">
        <f>IF(Diskontering!AH16&lt;=Diskontering!$A$5,($B$73*Diskontering!AH24),0)</f>
        <v>0.11892668352910206</v>
      </c>
      <c r="AI137" s="684">
        <f>IF(Diskontering!AI16&lt;=Diskontering!$A$5,($B$73*Diskontering!AI24),0)</f>
        <v>0.11335618121028042</v>
      </c>
      <c r="AJ137" s="684">
        <f>IF(Diskontering!AJ16&lt;=Diskontering!$A$5,($B$73*Diskontering!AJ24),0)</f>
        <v>0.10804660011757207</v>
      </c>
      <c r="AK137" s="684">
        <f>IF(Diskontering!AK16&lt;=Diskontering!$A$5,($B$73*Diskontering!AK24),0)</f>
        <v>0.10298571875238671</v>
      </c>
      <c r="AL137" s="684">
        <f>IF(Diskontering!AL16&lt;=Diskontering!$A$5,($B$73*Diskontering!AL24),0)</f>
        <v>9.8161888068709235E-2</v>
      </c>
      <c r="AM137" s="684">
        <f>IF(Diskontering!AM16&lt;=Diskontering!$A$5,($B$73*Diskontering!AM24),0)</f>
        <v>9.3564004659534336E-2</v>
      </c>
      <c r="AN137" s="684">
        <f>IF(Diskontering!AN16&lt;=Diskontering!$A$5,($B$73*Diskontering!AN24),0)</f>
        <v>8.918148519924321E-2</v>
      </c>
      <c r="AO137" s="684">
        <f>IF(Diskontering!AO16&lt;=Diskontering!$A$5,($B$73*Diskontering!AO24),0)</f>
        <v>8.5004242083094469E-2</v>
      </c>
      <c r="AP137" s="684">
        <f>IF(Diskontering!AP16&lt;=Diskontering!$A$5,($B$73*Diskontering!AP24),0)</f>
        <v>8.1022660207756295E-2</v>
      </c>
    </row>
    <row r="138" spans="1:42" s="211" customFormat="1" x14ac:dyDescent="0.25">
      <c r="A138" s="209" t="s">
        <v>511</v>
      </c>
      <c r="B138" s="210">
        <f>B135+B136+B137</f>
        <v>0.24337999999999993</v>
      </c>
      <c r="C138" s="210">
        <f t="shared" ref="C138:AP138" si="16">C135+C136+C137</f>
        <v>0.22497811121397682</v>
      </c>
      <c r="D138" s="210">
        <f t="shared" si="16"/>
        <v>0.20760729412028595</v>
      </c>
      <c r="E138" s="210">
        <f t="shared" si="16"/>
        <v>0.19121516823836415</v>
      </c>
      <c r="F138" s="210">
        <f t="shared" si="16"/>
        <v>0.17575190525741008</v>
      </c>
      <c r="G138" s="210">
        <f t="shared" si="16"/>
        <v>0.16117010710972091</v>
      </c>
      <c r="H138" s="210">
        <f t="shared" si="16"/>
        <v>0.14742468981262374</v>
      </c>
      <c r="I138" s="210">
        <f t="shared" si="16"/>
        <v>0.13447277280740949</v>
      </c>
      <c r="J138" s="210">
        <f t="shared" si="16"/>
        <v>0.1222735735364362</v>
      </c>
      <c r="K138" s="210">
        <f t="shared" si="16"/>
        <v>0.11078830701171993</v>
      </c>
      <c r="L138" s="210">
        <f t="shared" si="16"/>
        <v>9.9980090139922762E-2</v>
      </c>
      <c r="M138" s="210">
        <f t="shared" si="16"/>
        <v>8.9813850579687715E-2</v>
      </c>
      <c r="N138" s="210">
        <f t="shared" si="16"/>
        <v>8.0256239917794348E-2</v>
      </c>
      <c r="O138" s="210">
        <f t="shared" si="16"/>
        <v>7.1275550960643419E-2</v>
      </c>
      <c r="P138" s="210">
        <f t="shared" si="16"/>
        <v>6.2841638947135847E-2</v>
      </c>
      <c r="Q138" s="210">
        <f t="shared" si="16"/>
        <v>5.4925846498126207E-2</v>
      </c>
      <c r="R138" s="210">
        <f t="shared" si="16"/>
        <v>4.7500932126313788E-2</v>
      </c>
      <c r="S138" s="210">
        <f t="shared" si="16"/>
        <v>4.054100213871234E-2</v>
      </c>
      <c r="T138" s="210">
        <f t="shared" si="16"/>
        <v>3.402144577172736E-2</v>
      </c>
      <c r="U138" s="210">
        <f t="shared" si="16"/>
        <v>2.7918873406390349E-2</v>
      </c>
      <c r="V138" s="210">
        <f t="shared" si="16"/>
        <v>2.2211057718463295E-2</v>
      </c>
      <c r="W138" s="210">
        <f t="shared" si="16"/>
        <v>1.6876877624957237E-2</v>
      </c>
      <c r="X138" s="210">
        <f t="shared" si="16"/>
        <v>1.1896264895117803E-2</v>
      </c>
      <c r="Y138" s="210">
        <f t="shared" si="16"/>
        <v>7.2501533001341767E-3</v>
      </c>
      <c r="Z138" s="210">
        <f t="shared" si="16"/>
        <v>2.9204301817408185E-3</v>
      </c>
      <c r="AA138" s="210">
        <f t="shared" si="16"/>
        <v>-1.1101096744846606E-3</v>
      </c>
      <c r="AB138" s="210">
        <f t="shared" si="16"/>
        <v>-4.8578079699525822E-3</v>
      </c>
      <c r="AC138" s="210">
        <f t="shared" si="16"/>
        <v>-8.3381847317277602E-3</v>
      </c>
      <c r="AD138" s="210">
        <f t="shared" si="16"/>
        <v>-1.1565978157861256E-2</v>
      </c>
      <c r="AE138" s="210">
        <f t="shared" si="16"/>
        <v>-1.4555182563565888E-2</v>
      </c>
      <c r="AF138" s="210">
        <f t="shared" si="16"/>
        <v>-1.7319084517984584E-2</v>
      </c>
      <c r="AG138" s="210">
        <f t="shared" si="16"/>
        <v>-1.9870297257077021E-2</v>
      </c>
      <c r="AH138" s="210">
        <f t="shared" si="16"/>
        <v>-2.2220793454125767E-2</v>
      </c>
      <c r="AI138" s="210">
        <f t="shared" si="16"/>
        <v>-2.4381936425526426E-2</v>
      </c>
      <c r="AJ138" s="210">
        <f t="shared" si="16"/>
        <v>-2.6364509845872339E-2</v>
      </c>
      <c r="AK138" s="210">
        <f t="shared" si="16"/>
        <v>-2.8178746042858555E-2</v>
      </c>
      <c r="AL138" s="210">
        <f t="shared" si="16"/>
        <v>-2.9834352939211273E-2</v>
      </c>
      <c r="AM138" s="210">
        <f t="shared" si="16"/>
        <v>-3.1340539705682777E-2</v>
      </c>
      <c r="AN138" s="210">
        <f t="shared" si="16"/>
        <v>-3.2706041186137777E-2</v>
      </c>
      <c r="AO138" s="210">
        <f t="shared" si="16"/>
        <v>-3.39391411528812E-2</v>
      </c>
      <c r="AP138" s="210">
        <f t="shared" si="16"/>
        <v>-3.5047694447640262E-2</v>
      </c>
    </row>
    <row r="139" spans="1:42" s="1" customFormat="1" x14ac:dyDescent="0.25">
      <c r="B139" s="1" t="s">
        <v>269</v>
      </c>
      <c r="C139" s="1" t="s">
        <v>269</v>
      </c>
      <c r="D139" s="1" t="s">
        <v>269</v>
      </c>
      <c r="E139" s="1" t="s">
        <v>269</v>
      </c>
      <c r="F139" s="1" t="s">
        <v>269</v>
      </c>
      <c r="G139" s="1" t="s">
        <v>269</v>
      </c>
      <c r="H139" s="1" t="s">
        <v>269</v>
      </c>
      <c r="I139" s="1" t="s">
        <v>269</v>
      </c>
      <c r="J139" s="1" t="s">
        <v>269</v>
      </c>
      <c r="K139" s="1" t="s">
        <v>269</v>
      </c>
      <c r="L139" s="1" t="s">
        <v>269</v>
      </c>
      <c r="M139" s="1" t="s">
        <v>269</v>
      </c>
      <c r="N139" s="1" t="s">
        <v>269</v>
      </c>
      <c r="O139" s="1" t="s">
        <v>269</v>
      </c>
      <c r="P139" s="1" t="s">
        <v>269</v>
      </c>
      <c r="Q139" s="1" t="s">
        <v>269</v>
      </c>
      <c r="R139" s="1" t="s">
        <v>269</v>
      </c>
      <c r="S139" s="1" t="s">
        <v>269</v>
      </c>
      <c r="T139" s="1" t="s">
        <v>269</v>
      </c>
      <c r="U139" s="1" t="s">
        <v>269</v>
      </c>
      <c r="V139" s="1" t="s">
        <v>269</v>
      </c>
      <c r="W139" s="1" t="s">
        <v>269</v>
      </c>
      <c r="X139" s="1" t="s">
        <v>269</v>
      </c>
      <c r="Y139" s="1" t="s">
        <v>269</v>
      </c>
      <c r="Z139" s="1" t="s">
        <v>269</v>
      </c>
      <c r="AA139" s="1" t="s">
        <v>269</v>
      </c>
      <c r="AB139" s="1" t="s">
        <v>269</v>
      </c>
      <c r="AC139" s="1" t="s">
        <v>269</v>
      </c>
      <c r="AD139" s="1" t="s">
        <v>269</v>
      </c>
      <c r="AE139" s="1" t="s">
        <v>269</v>
      </c>
      <c r="AF139" s="1" t="s">
        <v>269</v>
      </c>
      <c r="AG139" s="1" t="s">
        <v>269</v>
      </c>
      <c r="AH139" s="1" t="s">
        <v>269</v>
      </c>
      <c r="AI139" s="1" t="s">
        <v>269</v>
      </c>
      <c r="AJ139" s="1" t="s">
        <v>269</v>
      </c>
      <c r="AK139" s="1" t="s">
        <v>269</v>
      </c>
      <c r="AL139" s="1" t="s">
        <v>269</v>
      </c>
      <c r="AM139" s="1" t="s">
        <v>269</v>
      </c>
      <c r="AN139" s="1" t="s">
        <v>269</v>
      </c>
      <c r="AO139" s="1" t="s">
        <v>269</v>
      </c>
      <c r="AP139" s="1" t="s">
        <v>269</v>
      </c>
    </row>
    <row r="140" spans="1:42" s="213" customFormat="1" ht="12.75" x14ac:dyDescent="0.2">
      <c r="A140" s="212" t="s">
        <v>512</v>
      </c>
      <c r="B140" s="208">
        <f>B138</f>
        <v>0.24337999999999993</v>
      </c>
      <c r="C140" s="208">
        <f>B140+C138</f>
        <v>0.46835811121397675</v>
      </c>
      <c r="D140" s="208">
        <f t="shared" ref="D140:AP140" si="17">C140+D138</f>
        <v>0.67596540533426275</v>
      </c>
      <c r="E140" s="208">
        <f t="shared" si="17"/>
        <v>0.8671805735726269</v>
      </c>
      <c r="F140" s="208">
        <f t="shared" si="17"/>
        <v>1.0429324788300369</v>
      </c>
      <c r="G140" s="208">
        <f t="shared" si="17"/>
        <v>1.2041025859397578</v>
      </c>
      <c r="H140" s="208">
        <f t="shared" si="17"/>
        <v>1.3515272757523815</v>
      </c>
      <c r="I140" s="208">
        <f t="shared" si="17"/>
        <v>1.4860000485597911</v>
      </c>
      <c r="J140" s="208">
        <f t="shared" si="17"/>
        <v>1.6082736220962273</v>
      </c>
      <c r="K140" s="208">
        <f t="shared" si="17"/>
        <v>1.7190619291079472</v>
      </c>
      <c r="L140" s="208">
        <f t="shared" si="17"/>
        <v>1.81904201924787</v>
      </c>
      <c r="M140" s="208">
        <f t="shared" si="17"/>
        <v>1.9088558698275577</v>
      </c>
      <c r="N140" s="208">
        <f t="shared" si="17"/>
        <v>1.9891121097453521</v>
      </c>
      <c r="O140" s="208">
        <f t="shared" si="17"/>
        <v>2.0603876607059957</v>
      </c>
      <c r="P140" s="208">
        <f t="shared" si="17"/>
        <v>2.1232292996531315</v>
      </c>
      <c r="Q140" s="208">
        <f t="shared" si="17"/>
        <v>2.1781551461512576</v>
      </c>
      <c r="R140" s="208">
        <f t="shared" si="17"/>
        <v>2.2256560782775714</v>
      </c>
      <c r="S140" s="208">
        <f t="shared" si="17"/>
        <v>2.2661970804162839</v>
      </c>
      <c r="T140" s="208">
        <f t="shared" si="17"/>
        <v>2.300218526188011</v>
      </c>
      <c r="U140" s="208">
        <f t="shared" si="17"/>
        <v>2.3281373995944015</v>
      </c>
      <c r="V140" s="208">
        <f t="shared" si="17"/>
        <v>2.3503484573128648</v>
      </c>
      <c r="W140" s="208">
        <f t="shared" si="17"/>
        <v>2.3672253349378218</v>
      </c>
      <c r="X140" s="208">
        <f t="shared" si="17"/>
        <v>2.3791215998329398</v>
      </c>
      <c r="Y140" s="208">
        <f t="shared" si="17"/>
        <v>2.3863717531330741</v>
      </c>
      <c r="Z140" s="208">
        <f t="shared" si="17"/>
        <v>2.3892921833148151</v>
      </c>
      <c r="AA140" s="208">
        <f t="shared" si="17"/>
        <v>2.3881820736403303</v>
      </c>
      <c r="AB140" s="208">
        <f t="shared" si="17"/>
        <v>2.3833242656703777</v>
      </c>
      <c r="AC140" s="208">
        <f t="shared" si="17"/>
        <v>2.3749860809386498</v>
      </c>
      <c r="AD140" s="208">
        <f t="shared" si="17"/>
        <v>2.3634201027807884</v>
      </c>
      <c r="AE140" s="208">
        <f t="shared" si="17"/>
        <v>2.3488649202172227</v>
      </c>
      <c r="AF140" s="208">
        <f t="shared" si="17"/>
        <v>2.331545835699238</v>
      </c>
      <c r="AG140" s="208">
        <f t="shared" si="17"/>
        <v>2.3116755384421608</v>
      </c>
      <c r="AH140" s="208">
        <f t="shared" si="17"/>
        <v>2.2894547449880349</v>
      </c>
      <c r="AI140" s="208">
        <f t="shared" si="17"/>
        <v>2.2650728085625085</v>
      </c>
      <c r="AJ140" s="208">
        <f t="shared" si="17"/>
        <v>2.2387082987166362</v>
      </c>
      <c r="AK140" s="208">
        <f t="shared" si="17"/>
        <v>2.2105295526737776</v>
      </c>
      <c r="AL140" s="208">
        <f t="shared" si="17"/>
        <v>2.1806951997345663</v>
      </c>
      <c r="AM140" s="208">
        <f t="shared" si="17"/>
        <v>2.1493546600288833</v>
      </c>
      <c r="AN140" s="208">
        <f t="shared" si="17"/>
        <v>2.1166486188427456</v>
      </c>
      <c r="AO140" s="208">
        <f t="shared" si="17"/>
        <v>2.0827094776898645</v>
      </c>
      <c r="AP140" s="208">
        <f t="shared" si="17"/>
        <v>2.0476617832422241</v>
      </c>
    </row>
    <row r="141" spans="1:42" s="1" customFormat="1" x14ac:dyDescent="0.25"/>
    <row r="142" spans="1:42" s="1" customFormat="1" x14ac:dyDescent="0.25">
      <c r="A142" s="178" t="s">
        <v>513</v>
      </c>
    </row>
    <row r="143" spans="1:42" s="1" customFormat="1" x14ac:dyDescent="0.25">
      <c r="A143" s="3" t="s">
        <v>514</v>
      </c>
      <c r="B143" s="40">
        <f>IF(Diskontering!B16&lt;=Diskontering!$A$5,($B$97*Diskontering!B26),0)</f>
        <v>-0.11524242877942285</v>
      </c>
      <c r="C143" s="40">
        <f>IF([1]Diskontering!C16&lt;=[1]Diskontering!$A$5,($B$97*[1]Diskontering!C22),0)</f>
        <v>-0.11268148591765791</v>
      </c>
      <c r="D143" s="40">
        <f>IF([1]Diskontering!D16&lt;=[1]Diskontering!$A$5,($B$97*[1]Diskontering!D22),0)</f>
        <v>-0.11017745289726551</v>
      </c>
      <c r="E143" s="40">
        <f>IF([1]Diskontering!E16&lt;=[1]Diskontering!$A$5,($B$97*[1]Diskontering!E22),0)</f>
        <v>-0.10772906505510407</v>
      </c>
      <c r="F143" s="40">
        <f>IF([1]Diskontering!F16&lt;=[1]Diskontering!$A$5,($B$97*[1]Diskontering!F22),0)</f>
        <v>-0.10533508583165731</v>
      </c>
      <c r="G143" s="40">
        <f>IF([1]Diskontering!G16&lt;=[1]Diskontering!$A$5,($B$97*[1]Diskontering!G22),0)</f>
        <v>-0.10299430614650938</v>
      </c>
      <c r="H143" s="40">
        <f>IF([1]Diskontering!H16&lt;=[1]Diskontering!$A$5,($B$97*[1]Diskontering!H22),0)</f>
        <v>-0.1007055437876981</v>
      </c>
      <c r="I143" s="40">
        <f>IF([1]Diskontering!I16&lt;=[1]Diskontering!$A$5,($B$97*[1]Diskontering!I22),0)</f>
        <v>-9.8467642814638143E-2</v>
      </c>
      <c r="J143" s="40">
        <f>IF([1]Diskontering!J16&lt;=[1]Diskontering!$A$5,($B$97*[1]Diskontering!J22),0)</f>
        <v>-9.6279472974312844E-2</v>
      </c>
      <c r="K143" s="40">
        <f>IF([1]Diskontering!K16&lt;=[1]Diskontering!$A$5,($B$97*[1]Diskontering!K22),0)</f>
        <v>-9.3023645385809511E-2</v>
      </c>
      <c r="L143" s="40">
        <f>IF([1]Diskontering!L16&lt;=[1]Diskontering!$A$5,($B$97*[1]Diskontering!L22),0)</f>
        <v>-8.9877918247158961E-2</v>
      </c>
      <c r="M143" s="40">
        <f>IF([1]Diskontering!M16&lt;=[1]Diskontering!$A$5,($B$97*[1]Diskontering!M22),0)</f>
        <v>-8.683856835474299E-2</v>
      </c>
      <c r="N143" s="40">
        <f>IF([1]Diskontering!N16&lt;=[1]Diskontering!$A$5,($B$97*[1]Diskontering!N22),0)</f>
        <v>-8.390199841037968E-2</v>
      </c>
      <c r="O143" s="40">
        <f>IF([1]Diskontering!O16&lt;=[1]Diskontering!$A$5,($B$97*[1]Diskontering!O22),0)</f>
        <v>-8.1064732763651892E-2</v>
      </c>
      <c r="P143" s="40">
        <f>IF([1]Diskontering!P16&lt;=[1]Diskontering!$A$5,($B$97*[1]Diskontering!P22),0)</f>
        <v>-7.8323413298214392E-2</v>
      </c>
      <c r="Q143" s="40">
        <f>IF([1]Diskontering!Q16&lt;=[1]Diskontering!$A$5,($B$97*[1]Diskontering!Q22),0)</f>
        <v>-7.567479545721198E-2</v>
      </c>
      <c r="R143" s="40">
        <f>IF([1]Diskontering!R16&lt;=[1]Diskontering!$A$5,($B$97*[1]Diskontering!R22),0)</f>
        <v>-7.3115744403103367E-2</v>
      </c>
      <c r="S143" s="40">
        <f>IF([1]Diskontering!S16&lt;=[1]Diskontering!$A$5,($B$97*[1]Diskontering!S22),0)</f>
        <v>-7.0643231307346246E-2</v>
      </c>
      <c r="T143" s="40">
        <f>IF([1]Diskontering!T16&lt;=[1]Diskontering!$A$5,($B$97*[1]Diskontering!T22),0)</f>
        <v>-6.8254329765551944E-2</v>
      </c>
      <c r="U143" s="40">
        <f>IF([1]Diskontering!U16&lt;=[1]Diskontering!$A$5,($B$97*[1]Diskontering!U22),0)</f>
        <v>-6.5946212333866605E-2</v>
      </c>
      <c r="V143" s="40">
        <f>IF([1]Diskontering!V16&lt;=[1]Diskontering!$A$5,($B$97*[1]Diskontering!V22),0)</f>
        <v>-6.3716147182479824E-2</v>
      </c>
      <c r="W143" s="40">
        <f>IF([1]Diskontering!W16&lt;=[1]Diskontering!$A$5,($B$97*[1]Diskontering!W22),0)</f>
        <v>-6.1561494862299358E-2</v>
      </c>
      <c r="X143" s="40">
        <f>IF([1]Diskontering!X16&lt;=[1]Diskontering!$A$5,($B$97*[1]Diskontering!X22),0)</f>
        <v>-5.947970518096557E-2</v>
      </c>
      <c r="Y143" s="40">
        <f>IF([1]Diskontering!Y16&lt;=[1]Diskontering!$A$5,($B$97*[1]Diskontering!Y22),0)</f>
        <v>-5.7468314184507797E-2</v>
      </c>
      <c r="Z143" s="40">
        <f>IF([1]Diskontering!Z16&lt;=[1]Diskontering!$A$5,($B$97*[1]Diskontering!Z22),0)</f>
        <v>-5.5524941241070339E-2</v>
      </c>
      <c r="AA143" s="40">
        <f>IF([1]Diskontering!AA16&lt;=[1]Diskontering!$A$5,($B$97*[1]Diskontering!AA22),0)</f>
        <v>-5.3647286223256374E-2</v>
      </c>
      <c r="AB143" s="40">
        <f>IF([1]Diskontering!AB16&lt;=[1]Diskontering!$A$5,($B$97*[1]Diskontering!AB22),0)</f>
        <v>-5.1833126785754947E-2</v>
      </c>
      <c r="AC143" s="40">
        <f>IF([1]Diskontering!AC16&lt;=[1]Diskontering!$A$5,($B$97*[1]Diskontering!AC22),0)</f>
        <v>-5.0080315735028941E-2</v>
      </c>
      <c r="AD143" s="40">
        <f>IF([1]Diskontering!AD16&lt;=[1]Diskontering!$A$5,($B$97*[1]Diskontering!AD22),0)</f>
        <v>-4.8386778487950664E-2</v>
      </c>
      <c r="AE143" s="40">
        <f>IF([1]Diskontering!AE16&lt;=[1]Diskontering!$A$5,($B$97*[1]Diskontering!AE22),0)</f>
        <v>-4.6750510616377458E-2</v>
      </c>
      <c r="AF143" s="40">
        <f>IF([1]Diskontering!AF16&lt;=[1]Diskontering!$A$5,($B$97*[1]Diskontering!AF22),0)</f>
        <v>-4.5169575474760831E-2</v>
      </c>
      <c r="AG143" s="40">
        <f>IF([1]Diskontering!AG16&lt;=[1]Diskontering!$A$5,($B$97*[1]Diskontering!AG22),0)</f>
        <v>-4.3642101907981484E-2</v>
      </c>
      <c r="AH143" s="40">
        <f>IF([1]Diskontering!AH16&lt;=[1]Diskontering!$A$5,($B$97*[1]Diskontering!AH22),0)</f>
        <v>-4.2166282036697089E-2</v>
      </c>
      <c r="AI143" s="40">
        <f>IF([1]Diskontering!AI16&lt;=[1]Diskontering!$A$5,($B$97*[1]Diskontering!AI22),0)</f>
        <v>-4.0740369117581728E-2</v>
      </c>
      <c r="AJ143" s="40">
        <f>IF([1]Diskontering!AJ16&lt;=[1]Diskontering!$A$5,($B$97*[1]Diskontering!AJ22),0)</f>
        <v>-3.9362675475924383E-2</v>
      </c>
      <c r="AK143" s="40">
        <f>IF([1]Diskontering!AK16&lt;=[1]Diskontering!$A$5,($B$97*[1]Diskontering!AK22),0)</f>
        <v>-3.8031570508139496E-2</v>
      </c>
      <c r="AL143" s="40">
        <f>IF([1]Diskontering!AL16&lt;=[1]Diskontering!$A$5,($B$97*[1]Diskontering!AL22),0)</f>
        <v>-3.6745478751825614E-2</v>
      </c>
      <c r="AM143" s="40">
        <f>IF([1]Diskontering!AM16&lt;=[1]Diskontering!$A$5,($B$97*[1]Diskontering!AM22),0)</f>
        <v>-3.550287802108755E-2</v>
      </c>
      <c r="AN143" s="40">
        <f>IF([1]Diskontering!AN16&lt;=[1]Diskontering!$A$5,($B$97*[1]Diskontering!AN22),0)</f>
        <v>-3.4302297604915516E-2</v>
      </c>
      <c r="AO143" s="40">
        <f>IF([1]Diskontering!AO16&lt;=[1]Diskontering!$A$5,($B$97*[1]Diskontering!AO22),0)</f>
        <v>-3.3142316526488413E-2</v>
      </c>
      <c r="AP143" s="40">
        <f>IF([1]Diskontering!AP16&lt;=[1]Diskontering!$A$5,($B$97*[1]Diskontering!AP22),0)</f>
        <v>0</v>
      </c>
    </row>
    <row r="144" spans="1:42" s="1" customFormat="1" x14ac:dyDescent="0.25">
      <c r="A144" s="3" t="s">
        <v>515</v>
      </c>
      <c r="B144" s="40">
        <f>IF(Diskontering!B16&lt;=Diskontering!A5,($B$98*Diskontering!B26),0)</f>
        <v>4.41468253968254E-2</v>
      </c>
      <c r="C144" s="40">
        <f>IF([1]Diskontering!C16&lt;=[1]Diskontering!$A$5,($B$98*[1]Diskontering!C22),0)</f>
        <v>4.3165784832451502E-2</v>
      </c>
      <c r="D144" s="40">
        <f>IF([1]Diskontering!D16&lt;=[1]Diskontering!$A$5,($B$98*[1]Diskontering!D22),0)</f>
        <v>4.2206545169508135E-2</v>
      </c>
      <c r="E144" s="40">
        <f>IF([1]Diskontering!E16&lt;=[1]Diskontering!$A$5,($B$98*[1]Diskontering!E22),0)</f>
        <v>4.1268621943519074E-2</v>
      </c>
      <c r="F144" s="40">
        <f>IF([1]Diskontering!F16&lt;=[1]Diskontering!$A$5,($B$98*[1]Diskontering!F22),0)</f>
        <v>4.0351541455885313E-2</v>
      </c>
      <c r="G144" s="40">
        <f>IF([1]Diskontering!G16&lt;=[1]Diskontering!$A$5,($B$98*[1]Diskontering!G22),0)</f>
        <v>3.9454840534643425E-2</v>
      </c>
      <c r="H144" s="40">
        <f>IF([1]Diskontering!H16&lt;=[1]Diskontering!$A$5,($B$98*[1]Diskontering!H22),0)</f>
        <v>3.8578066300540247E-2</v>
      </c>
      <c r="I144" s="40">
        <f>IF([1]Diskontering!I16&lt;=[1]Diskontering!$A$5,($B$98*[1]Diskontering!I22),0)</f>
        <v>3.7720775938306028E-2</v>
      </c>
      <c r="J144" s="40">
        <f>IF([1]Diskontering!J16&lt;=[1]Diskontering!$A$5,($B$98*[1]Diskontering!J22),0)</f>
        <v>3.6882536473010333E-2</v>
      </c>
      <c r="K144" s="40">
        <f>IF([1]Diskontering!K16&lt;=[1]Diskontering!$A$5,($B$98*[1]Diskontering!K22),0)</f>
        <v>3.5635300940106605E-2</v>
      </c>
      <c r="L144" s="40">
        <f>IF([1]Diskontering!L16&lt;=[1]Diskontering!$A$5,($B$98*[1]Diskontering!L22),0)</f>
        <v>3.4430242454209281E-2</v>
      </c>
      <c r="M144" s="40">
        <f>IF([1]Diskontering!M16&lt;=[1]Diskontering!$A$5,($B$98*[1]Diskontering!M22),0)</f>
        <v>3.3265934738366469E-2</v>
      </c>
      <c r="N144" s="40">
        <f>IF([1]Diskontering!N16&lt;=[1]Diskontering!$A$5,($B$98*[1]Diskontering!N22),0)</f>
        <v>3.2140999747213975E-2</v>
      </c>
      <c r="O144" s="40">
        <f>IF([1]Diskontering!O16&lt;=[1]Diskontering!$A$5,($B$98*[1]Diskontering!O22),0)</f>
        <v>3.1054106035955535E-2</v>
      </c>
      <c r="P144" s="40">
        <f>IF([1]Diskontering!P16&lt;=[1]Diskontering!$A$5,($B$98*[1]Diskontering!P22),0)</f>
        <v>3.0003967184498107E-2</v>
      </c>
      <c r="Q144" s="40">
        <f>IF([1]Diskontering!Q16&lt;=[1]Diskontering!$A$5,($B$98*[1]Diskontering!Q22),0)</f>
        <v>2.8989340274877397E-2</v>
      </c>
      <c r="R144" s="40">
        <f>IF([1]Diskontering!R16&lt;=[1]Diskontering!$A$5,($B$98*[1]Diskontering!R22),0)</f>
        <v>2.8009024420171402E-2</v>
      </c>
      <c r="S144" s="40">
        <f>IF([1]Diskontering!S16&lt;=[1]Diskontering!$A$5,($B$98*[1]Diskontering!S22),0)</f>
        <v>2.7061859343160775E-2</v>
      </c>
      <c r="T144" s="40">
        <f>IF([1]Diskontering!T16&lt;=[1]Diskontering!$A$5,($B$98*[1]Diskontering!T22),0)</f>
        <v>2.614672400305389E-2</v>
      </c>
      <c r="U144" s="40">
        <f>IF([1]Diskontering!U16&lt;=[1]Diskontering!$A$5,($B$98*[1]Diskontering!U22),0)</f>
        <v>2.5262535268651104E-2</v>
      </c>
      <c r="V144" s="40">
        <f>IF([1]Diskontering!V16&lt;=[1]Diskontering!$A$5,($B$98*[1]Diskontering!V22),0)</f>
        <v>2.4408246636377882E-2</v>
      </c>
      <c r="W144" s="40">
        <f>IF([1]Diskontering!W16&lt;=[1]Diskontering!$A$5,($B$98*[1]Diskontering!W22),0)</f>
        <v>2.3582846991669456E-2</v>
      </c>
      <c r="X144" s="40">
        <f>IF([1]Diskontering!X16&lt;=[1]Diskontering!$A$5,($B$98*[1]Diskontering!X22),0)</f>
        <v>2.2785359412241024E-2</v>
      </c>
      <c r="Y144" s="40">
        <f>IF([1]Diskontering!Y16&lt;=[1]Diskontering!$A$5,($B$98*[1]Diskontering!Y22),0)</f>
        <v>2.2014840011827075E-2</v>
      </c>
      <c r="Z144" s="40">
        <f>IF([1]Diskontering!Z16&lt;=[1]Diskontering!$A$5,($B$98*[1]Diskontering!Z22),0)</f>
        <v>2.1270376823021329E-2</v>
      </c>
      <c r="AA144" s="40">
        <f>IF([1]Diskontering!AA16&lt;=[1]Diskontering!$A$5,($B$98*[1]Diskontering!AA22),0)</f>
        <v>2.0551088717895006E-2</v>
      </c>
      <c r="AB144" s="40">
        <f>IF([1]Diskontering!AB16&lt;=[1]Diskontering!$A$5,($B$98*[1]Diskontering!AB22),0)</f>
        <v>1.9856124365115947E-2</v>
      </c>
      <c r="AC144" s="40">
        <f>IF([1]Diskontering!AC16&lt;=[1]Diskontering!$A$5,($B$98*[1]Diskontering!AC22),0)</f>
        <v>1.918466122233425E-2</v>
      </c>
      <c r="AD144" s="40">
        <f>IF([1]Diskontering!AD16&lt;=[1]Diskontering!$A$5,($B$98*[1]Diskontering!AD22),0)</f>
        <v>1.8535904562641786E-2</v>
      </c>
      <c r="AE144" s="40">
        <f>IF([1]Diskontering!AE16&lt;=[1]Diskontering!$A$5,($B$98*[1]Diskontering!AE22),0)</f>
        <v>1.7909086533953421E-2</v>
      </c>
      <c r="AF144" s="40">
        <f>IF([1]Diskontering!AF16&lt;=[1]Diskontering!$A$5,($B$98*[1]Diskontering!AF22),0)</f>
        <v>1.7303465250196541E-2</v>
      </c>
      <c r="AG144" s="40">
        <f>IF([1]Diskontering!AG16&lt;=[1]Diskontering!$A$5,($B$98*[1]Diskontering!AG22),0)</f>
        <v>1.6718323913233375E-2</v>
      </c>
      <c r="AH144" s="40">
        <f>IF([1]Diskontering!AH16&lt;=[1]Diskontering!$A$5,($B$98*[1]Diskontering!AH22),0)</f>
        <v>1.6152969964476693E-2</v>
      </c>
      <c r="AI144" s="40">
        <f>IF([1]Diskontering!AI16&lt;=[1]Diskontering!$A$5,($B$98*[1]Diskontering!AI22),0)</f>
        <v>1.5606734265194872E-2</v>
      </c>
      <c r="AJ144" s="40">
        <f>IF([1]Diskontering!AJ16&lt;=[1]Diskontering!$A$5,($B$98*[1]Diskontering!AJ22),0)</f>
        <v>1.507897030453611E-2</v>
      </c>
      <c r="AK144" s="40">
        <f>IF([1]Diskontering!AK16&lt;=[1]Diskontering!$A$5,($B$98*[1]Diskontering!AK22),0)</f>
        <v>1.4569053434334405E-2</v>
      </c>
      <c r="AL144" s="40">
        <f>IF([1]Diskontering!AL16&lt;=[1]Diskontering!$A$5,($B$98*[1]Diskontering!AL22),0)</f>
        <v>1.4076380129791701E-2</v>
      </c>
      <c r="AM144" s="40">
        <f>IF([1]Diskontering!AM16&lt;=[1]Diskontering!$A$5,($B$98*[1]Diskontering!AM22),0)</f>
        <v>1.3600367275161064E-2</v>
      </c>
      <c r="AN144" s="40">
        <f>IF([1]Diskontering!AN16&lt;=[1]Diskontering!$A$5,($B$98*[1]Diskontering!AN22),0)</f>
        <v>1.3140451473585571E-2</v>
      </c>
      <c r="AO144" s="40">
        <f>IF([1]Diskontering!AO16&lt;=[1]Diskontering!$A$5,($B$98*[1]Diskontering!AO22),0)</f>
        <v>1.2696088380275913E-2</v>
      </c>
      <c r="AP144" s="40">
        <f>IF([1]Diskontering!AP16&lt;=[1]Diskontering!$A$5,($B$98*[1]Diskontering!AP22),0)</f>
        <v>0</v>
      </c>
    </row>
    <row r="145" spans="1:42" s="216" customFormat="1" ht="12.75" x14ac:dyDescent="0.2">
      <c r="A145" s="214" t="s">
        <v>516</v>
      </c>
      <c r="B145" s="215">
        <f>IF(Diskontering!B16&lt;=Diskontering!$A$5,($B$97*'Kalkylvärden 1'!$D$159*Diskontering!B35),0)</f>
        <v>-5.412663093607184E-2</v>
      </c>
      <c r="C145" s="215">
        <f>IF(Diskontering!C16&lt;=Diskontering!$A$5,($B$97*'Kalkylvärden 1'!$D$159*Diskontering!C35),0)</f>
        <v>-5.3603668318332014E-2</v>
      </c>
      <c r="D145" s="215">
        <f>IF(Diskontering!D16&lt;=Diskontering!$A$5,($B$97*'Kalkylvärden 1'!$D$159*Diskontering!D35),0)</f>
        <v>-5.3085758479507549E-2</v>
      </c>
      <c r="E145" s="215">
        <f>IF(Diskontering!E16&lt;=Diskontering!$A$5,($B$97*'Kalkylvärden 1'!$D$159*Diskontering!E35),0)</f>
        <v>-5.2572852600478504E-2</v>
      </c>
      <c r="F145" s="215">
        <f>IF(Diskontering!F16&lt;=Diskontering!$A$5,($B$97*'Kalkylvärden 1'!$D$159*Diskontering!F35),0)</f>
        <v>-5.20649023338072E-2</v>
      </c>
      <c r="G145" s="215">
        <f>IF(Diskontering!G16&lt;=Diskontering!$A$5,($B$97*'Kalkylvärden 1'!$D$159*Diskontering!G35),0)</f>
        <v>-5.1561859799181056E-2</v>
      </c>
      <c r="H145" s="215">
        <f>IF(Diskontering!H16&lt;=Diskontering!$A$5,($B$97*'Kalkylvärden 1'!$D$159*Diskontering!H35),0)</f>
        <v>-5.1063677578899111E-2</v>
      </c>
      <c r="I145" s="215">
        <f>IF(Diskontering!I16&lt;=Diskontering!$A$5,($B$97*'Kalkylvärden 1'!$D$159*Diskontering!I35),0)</f>
        <v>-5.0570308713402498E-2</v>
      </c>
      <c r="J145" s="215">
        <f>IF(Diskontering!J16&lt;=Diskontering!$A$5,($B$97*'Kalkylvärden 1'!$D$159*Diskontering!J35),0)</f>
        <v>-5.0081706696847882E-2</v>
      </c>
      <c r="K145" s="215">
        <f>IF(Diskontering!K16&lt;=Diskontering!$A$5,($B$97*'Kalkylvärden 1'!$D$159*Diskontering!K35),0)</f>
        <v>-4.9597825472723747E-2</v>
      </c>
      <c r="L145" s="215">
        <f>IF(Diskontering!L16&lt;=Diskontering!$A$5,($B$97*'Kalkylvärden 1'!$D$159*Diskontering!L35),0)</f>
        <v>-4.9118619429509021E-2</v>
      </c>
      <c r="M145" s="215">
        <f>IF(Diskontering!M16&lt;=Diskontering!$A$5,($B$97*'Kalkylvärden 1'!$D$159*Diskontering!M35),0)</f>
        <v>-4.8644043396373675E-2</v>
      </c>
      <c r="N145" s="215">
        <f>IF(Diskontering!N16&lt;=Diskontering!$A$5,($B$97*'Kalkylvärden 1'!$D$159*Diskontering!N35),0)</f>
        <v>-4.8174052638920786E-2</v>
      </c>
      <c r="O145" s="215">
        <f>IF(Diskontering!O16&lt;=Diskontering!$A$5,($B$97*'Kalkylvärden 1'!$D$159*Diskontering!O35),0)</f>
        <v>-4.7708602854969862E-2</v>
      </c>
      <c r="P145" s="215">
        <f>IF(Diskontering!P16&lt;=Diskontering!$A$5,($B$97*'Kalkylvärden 1'!$D$159*Diskontering!P35),0)</f>
        <v>-4.7247650170380788E-2</v>
      </c>
      <c r="Q145" s="215">
        <f>IF(Diskontering!Q16&lt;=Diskontering!$A$5,($B$97*'Kalkylvärden 1'!$D$159*Diskontering!Q35),0)</f>
        <v>-4.6791151134918163E-2</v>
      </c>
      <c r="R145" s="215">
        <f>IF(Diskontering!R16&lt;=Diskontering!$A$5,($B$97*'Kalkylvärden 1'!$D$159*Diskontering!R35),0)</f>
        <v>-4.6339062718155674E-2</v>
      </c>
      <c r="S145" s="215">
        <f>IF(Diskontering!S16&lt;=Diskontering!$A$5,($B$97*'Kalkylvärden 1'!$D$159*Diskontering!S35),0)</f>
        <v>-4.5891342305419858E-2</v>
      </c>
      <c r="T145" s="215">
        <f>IF(Diskontering!T16&lt;=Diskontering!$A$5,($B$97*'Kalkylvärden 1'!$D$159*Diskontering!T35),0)</f>
        <v>-4.5447947693773305E-2</v>
      </c>
      <c r="U145" s="215">
        <f>IF(Diskontering!U16&lt;=Diskontering!$A$5,($B$97*'Kalkylvärden 1'!$D$159*Diskontering!U35),0)</f>
        <v>-4.5008837088036359E-2</v>
      </c>
      <c r="V145" s="215">
        <f>IF(Diskontering!V16&lt;=Diskontering!$A$5,($B$97*'Kalkylvärden 1'!$D$159*Diskontering!V35),0)</f>
        <v>-4.4573969096847604E-2</v>
      </c>
      <c r="W145" s="215">
        <f>IF(Diskontering!W16&lt;=Diskontering!$A$5,($B$97*'Kalkylvärden 1'!$D$159*Diskontering!W35),0)</f>
        <v>-4.4143302728762115E-2</v>
      </c>
      <c r="X145" s="215">
        <f>IF(Diskontering!X16&lt;=Diskontering!$A$5,($B$97*'Kalkylvärden 1'!$D$159*Diskontering!X35),0)</f>
        <v>-4.3716797388387602E-2</v>
      </c>
      <c r="Y145" s="215">
        <f>IF(Diskontering!Y16&lt;=Diskontering!$A$5,($B$97*'Kalkylvärden 1'!$D$159*Diskontering!Y35),0)</f>
        <v>-4.3294412872557766E-2</v>
      </c>
      <c r="Z145" s="215">
        <f>IF(Diskontering!Z16&lt;=Diskontering!$A$5,($B$97*'Kalkylvärden 1'!$D$159*Diskontering!Z35),0)</f>
        <v>-4.2876109366542715E-2</v>
      </c>
      <c r="AA145" s="215">
        <f>IF(Diskontering!AA16&lt;=Diskontering!$A$5,($B$97*'Kalkylvärden 1'!$D$159*Diskontering!AA35),0)</f>
        <v>-4.2461847440295922E-2</v>
      </c>
      <c r="AB145" s="215">
        <f>IF(Diskontering!AB16&lt;=Diskontering!$A$5,($B$97*'Kalkylvärden 1'!$D$159*Diskontering!AB35),0)</f>
        <v>-4.2051588044737506E-2</v>
      </c>
      <c r="AC145" s="215">
        <f>IF(Diskontering!AC16&lt;=Diskontering!$A$5,($B$97*'Kalkylvärden 1'!$D$159*Diskontering!AC35),0)</f>
        <v>-4.1645292508073375E-2</v>
      </c>
      <c r="AD145" s="215">
        <f>IF(Diskontering!AD16&lt;=Diskontering!$A$5,($B$97*'Kalkylvärden 1'!$D$159*Diskontering!AD35),0)</f>
        <v>-4.1242922532149964E-2</v>
      </c>
      <c r="AE145" s="215">
        <f>IF(Diskontering!AE16&lt;=Diskontering!$A$5,($B$97*'Kalkylvärden 1'!$D$159*Diskontering!AE35),0)</f>
        <v>-4.0844440188844165E-2</v>
      </c>
      <c r="AF145" s="215">
        <f>IF(Diskontering!AF16&lt;=Diskontering!$A$5,($B$97*'Kalkylvärden 1'!$D$159*Diskontering!AF35),0)</f>
        <v>-4.0449807916488181E-2</v>
      </c>
      <c r="AG145" s="215">
        <f>IF(Diskontering!AG16&lt;=Diskontering!$A$5,($B$97*'Kalkylvärden 1'!$D$159*Diskontering!AG35),0)</f>
        <v>-4.0058988516328879E-2</v>
      </c>
      <c r="AH145" s="215">
        <f>IF(Diskontering!AH16&lt;=Diskontering!$A$5,($B$97*'Kalkylvärden 1'!$D$159*Diskontering!AH35),0)</f>
        <v>-3.9671945149021351E-2</v>
      </c>
      <c r="AI145" s="215">
        <f>IF(Diskontering!AI16&lt;=Diskontering!$A$5,($B$97*'Kalkylvärden 1'!$D$159*Diskontering!AI35),0)</f>
        <v>-3.9288641331156407E-2</v>
      </c>
      <c r="AJ145" s="215">
        <f>IF(Diskontering!AJ16&lt;=Diskontering!$A$5,($B$97*'Kalkylvärden 1'!$D$159*Diskontering!AJ35),0)</f>
        <v>-3.8909040931821556E-2</v>
      </c>
      <c r="AK145" s="215">
        <f>IF(Diskontering!AK16&lt;=Diskontering!$A$5,($B$97*'Kalkylvärden 1'!$D$159*Diskontering!AK35),0)</f>
        <v>-3.8533108169195265E-2</v>
      </c>
      <c r="AL145" s="215">
        <f>IF(Diskontering!AL16&lt;=Diskontering!$A$5,($B$97*'Kalkylvärden 1'!$D$159*Diskontering!AL35),0)</f>
        <v>-3.8160807607174059E-2</v>
      </c>
      <c r="AM145" s="215">
        <f>IF(Diskontering!AM16&lt;=Diskontering!$A$5,($B$97*'Kalkylvärden 1'!$D$159*Diskontering!AM35),0)</f>
        <v>-3.7792104152032276E-2</v>
      </c>
      <c r="AN145" s="215">
        <f>IF(Diskontering!AN16&lt;=Diskontering!$A$5,($B$97*'Kalkylvärden 1'!$D$159*Diskontering!AN35),0)</f>
        <v>-3.7426963049114095E-2</v>
      </c>
      <c r="AO145" s="215">
        <f>IF(Diskontering!AO16&lt;=Diskontering!$A$5,($B$97*'Kalkylvärden 1'!$D$159*Diskontering!AO35),0)</f>
        <v>-3.7065349879557438E-2</v>
      </c>
      <c r="AP145" s="215">
        <f>IF(Diskontering!AP16&lt;=Diskontering!$A$5,($B$97*'Kalkylvärden 1'!$D$159*Diskontering!AP35),0)</f>
        <v>-3.6707230557049636E-2</v>
      </c>
    </row>
    <row r="146" spans="1:42" s="216" customFormat="1" ht="12.75" x14ac:dyDescent="0.2">
      <c r="A146" s="214" t="s">
        <v>517</v>
      </c>
      <c r="B146" s="215">
        <f>IF(Diskontering!C16&lt;=Diskontering!$A$5,(($B$97*'Kalkylvärden 1'!$D$159*Diskontering!B26)),0)</f>
        <v>-5.412663093607184E-2</v>
      </c>
      <c r="C146" s="215">
        <f>IF(Diskontering!D16&lt;=Diskontering!$A$5,(($B$97*'Kalkylvärden 1'!$D$159*Diskontering!C26)),0)</f>
        <v>-5.2819224391722285E-2</v>
      </c>
      <c r="D146" s="215">
        <f>IF(Diskontering!E16&lt;=Diskontering!$A$5,(($B$97*'Kalkylvärden 1'!$D$159*Diskontering!D26)),0)</f>
        <v>-5.1543397715593721E-2</v>
      </c>
      <c r="E146" s="215">
        <f>IF(Diskontering!F16&lt;=Diskontering!$A$5,(($B$97*'Kalkylvärden 1'!$D$159*Diskontering!E26)),0)</f>
        <v>-5.0298388108936873E-2</v>
      </c>
      <c r="F146" s="215">
        <f>IF(Diskontering!G16&lt;=Diskontering!$A$5,(($B$97*'Kalkylvärden 1'!$D$159*Diskontering!F26)),0)</f>
        <v>-4.9083451198093001E-2</v>
      </c>
      <c r="G146" s="215">
        <f>IF(Diskontering!H16&lt;=Diskontering!$A$5,(($B$97*'Kalkylvärden 1'!$D$159*Diskontering!G26)),0)</f>
        <v>-4.7897860589443411E-2</v>
      </c>
      <c r="H146" s="215">
        <f>IF(Diskontering!I16&lt;=Diskontering!$A$5,(($B$97*'Kalkylvärden 1'!$D$159*Diskontering!H26)),0)</f>
        <v>-4.674090743510903E-2</v>
      </c>
      <c r="I146" s="215">
        <f>IF(Diskontering!J16&lt;=Diskontering!$A$5,(($B$97*'Kalkylvärden 1'!$D$159*Diskontering!I26)),0)</f>
        <v>-4.561190000914022E-2</v>
      </c>
      <c r="J146" s="215">
        <f>IF(Diskontering!K16&lt;=Diskontering!$A$5,(($B$97*'Kalkylvärden 1'!$D$159*Diskontering!J26)),0)</f>
        <v>-4.4510163293943597E-2</v>
      </c>
      <c r="K146" s="215">
        <f>IF(Diskontering!L16&lt;=Diskontering!$A$5,(($B$97*'Kalkylvärden 1'!$D$159*Diskontering!K26)),0)</f>
        <v>-4.3435038576698587E-2</v>
      </c>
      <c r="L146" s="215">
        <f>IF(Diskontering!M16&lt;=Diskontering!$A$5,(($B$97*'Kalkylvärden 1'!$D$159*Diskontering!L26)),0)</f>
        <v>-4.2385883055522301E-2</v>
      </c>
      <c r="M146" s="215">
        <f>IF(Diskontering!N16&lt;=Diskontering!$A$5,(($B$97*'Kalkylvärden 1'!$D$159*Diskontering!M26)),0)</f>
        <v>-4.1362069455147372E-2</v>
      </c>
      <c r="N146" s="215">
        <f>IF(Diskontering!O16&lt;=Diskontering!$A$5,(($B$97*'Kalkylvärden 1'!$D$159*Diskontering!N26)),0)</f>
        <v>-4.0362985651882947E-2</v>
      </c>
      <c r="O146" s="215">
        <f>IF(Diskontering!P16&lt;=Diskontering!$A$5,(($B$97*'Kalkylvärden 1'!$D$159*Diskontering!O26)),0)</f>
        <v>-3.9388034307634573E-2</v>
      </c>
      <c r="P146" s="215">
        <f>IF(Diskontering!Q16&lt;=Diskontering!$A$5,(($B$97*'Kalkylvärden 1'!$D$159*Diskontering!P26)),0)</f>
        <v>-3.8436632512764177E-2</v>
      </c>
      <c r="Q146" s="215">
        <f>IF(Diskontering!R16&lt;=Diskontering!$A$5,(($B$97*'Kalkylvärden 1'!$D$159*Diskontering!Q26)),0)</f>
        <v>-3.7508211437576641E-2</v>
      </c>
      <c r="R146" s="215">
        <f>IF(Diskontering!S16&lt;=Diskontering!$A$5,(($B$97*'Kalkylvärden 1'!$D$159*Diskontering!R26)),0)</f>
        <v>-3.6602215992224553E-2</v>
      </c>
      <c r="S146" s="215">
        <f>IF(Diskontering!T16&lt;=Diskontering!$A$5,(($B$97*'Kalkylvärden 1'!$D$159*Diskontering!S26)),0)</f>
        <v>-3.5718104494827818E-2</v>
      </c>
      <c r="T146" s="215">
        <f>IF(Diskontering!U16&lt;=Diskontering!$A$5,(($B$97*'Kalkylvärden 1'!$D$159*Diskontering!T26)),0)</f>
        <v>-3.4855348347609769E-2</v>
      </c>
      <c r="U146" s="215">
        <f>IF(Diskontering!V16&lt;=Diskontering!$A$5,(($B$97*'Kalkylvärden 1'!$D$159*Diskontering!U26)),0)</f>
        <v>-3.4013431720855906E-2</v>
      </c>
      <c r="V146" s="215">
        <f>IF(Diskontering!W16&lt;=Diskontering!$A$5,(($B$97*'Kalkylvärden 1'!$D$159*Diskontering!V26)),0)</f>
        <v>-3.3191851244506736E-2</v>
      </c>
      <c r="W146" s="215">
        <f>IF(Diskontering!X16&lt;=Diskontering!$A$5,(($B$97*'Kalkylvärden 1'!$D$159*Diskontering!W26)),0)</f>
        <v>-3.239011570719981E-2</v>
      </c>
      <c r="X146" s="215">
        <f>IF(Diskontering!Y16&lt;=Diskontering!$A$5,(($B$97*'Kalkylvärden 1'!$D$159*Diskontering!X26)),0)</f>
        <v>-3.160774576258147E-2</v>
      </c>
      <c r="Y146" s="215">
        <f>IF(Diskontering!Z16&lt;=Diskontering!$A$5,(($B$97*'Kalkylvärden 1'!$D$159*Diskontering!Y26)),0)</f>
        <v>-3.0844273642712354E-2</v>
      </c>
      <c r="Z146" s="215">
        <f>IF(Diskontering!AA16&lt;=Diskontering!$A$5,(($B$97*'Kalkylvärden 1'!$D$159*Diskontering!Z26)),0)</f>
        <v>-3.0099242878395632E-2</v>
      </c>
      <c r="AA146" s="215">
        <f>IF(Diskontering!AB16&lt;=Diskontering!$A$5,(($B$97*'Kalkylvärden 1'!$D$159*Diskontering!AA26)),0)</f>
        <v>-2.9372208026260473E-2</v>
      </c>
      <c r="AB146" s="215">
        <f>IF(Diskontering!AC16&lt;=Diskontering!$A$5,(($B$97*'Kalkylvärden 1'!$D$159*Diskontering!AB26)),0)</f>
        <v>-2.8662734402437755E-2</v>
      </c>
      <c r="AC146" s="215">
        <f>IF(Diskontering!AD16&lt;=Diskontering!$A$5,(($B$97*'Kalkylvärden 1'!$D$159*Diskontering!AC26)),0)</f>
        <v>-2.7970397822668726E-2</v>
      </c>
      <c r="AD146" s="215">
        <f>IF(Diskontering!AE16&lt;=Diskontering!$A$5,(($B$97*'Kalkylvärden 1'!$D$159*Diskontering!AD26)),0)</f>
        <v>-2.7294784348691228E-2</v>
      </c>
      <c r="AE146" s="215">
        <f>IF(Diskontering!AF16&lt;=Diskontering!$A$5,(($B$97*'Kalkylvärden 1'!$D$159*Diskontering!AE26)),0)</f>
        <v>-2.663549004075183E-2</v>
      </c>
      <c r="AF146" s="215">
        <f>IF(Diskontering!AG16&lt;=Diskontering!$A$5,(($B$97*'Kalkylvärden 1'!$D$159*Diskontering!AF26)),0)</f>
        <v>-2.5992120716095992E-2</v>
      </c>
      <c r="AG146" s="215">
        <f>IF(Diskontering!AH16&lt;=Diskontering!$A$5,(($B$97*'Kalkylvärden 1'!$D$159*Diskontering!AG26)),0)</f>
        <v>-2.5364291713291742E-2</v>
      </c>
      <c r="AH146" s="215">
        <f>IF(Diskontering!AI16&lt;=Diskontering!$A$5,(($B$97*'Kalkylvärden 1'!$D$159*Diskontering!AH26)),0)</f>
        <v>-2.4751627662246051E-2</v>
      </c>
      <c r="AI146" s="215">
        <f>IF(Diskontering!AJ16&lt;=Diskontering!$A$5,(($B$97*'Kalkylvärden 1'!$D$159*Diskontering!AI26)),0)</f>
        <v>-2.4153762259776342E-2</v>
      </c>
      <c r="AJ146" s="215">
        <f>IF(Diskontering!AK16&lt;=Diskontering!$A$5,(($B$97*'Kalkylvärden 1'!$D$159*Diskontering!AJ26)),0)</f>
        <v>-2.3570338050603004E-2</v>
      </c>
      <c r="AK146" s="215">
        <f>IF(Diskontering!AL16&lt;=Diskontering!$A$5,(($B$97*'Kalkylvärden 1'!$D$159*Diskontering!AK26)),0)</f>
        <v>-2.3001006213631915E-2</v>
      </c>
      <c r="AL146" s="215">
        <f>IF(Diskontering!AM16&lt;=Diskontering!$A$5,(($B$97*'Kalkylvärden 1'!$D$159*Diskontering!AL26)),0)</f>
        <v>-2.2445426353399266E-2</v>
      </c>
      <c r="AM146" s="215">
        <f>IF(Diskontering!AN16&lt;=Diskontering!$A$5,(($B$97*'Kalkylvärden 1'!$D$159*Diskontering!AM26)),0)</f>
        <v>-2.1903266296553873E-2</v>
      </c>
      <c r="AN146" s="215">
        <f>IF(Diskontering!AO16&lt;=Diskontering!$A$5,(($B$97*'Kalkylvärden 1'!$D$159*Diskontering!AN26)),0)</f>
        <v>-2.1374201893255475E-2</v>
      </c>
      <c r="AO146" s="215">
        <f>IF(Diskontering!AP16&lt;=Diskontering!$A$5,(($B$97*'Kalkylvärden 1'!$D$159*Diskontering!AO26)),0)</f>
        <v>-2.0857916823370078E-2</v>
      </c>
      <c r="AP146" s="215">
        <f>IF(Diskontering!AQ16&lt;=Diskontering!$A$5,(($B$97*'Kalkylvärden 1'!$D$159*Diskontering!AP26)),0)</f>
        <v>-2.0354102407346648E-2</v>
      </c>
    </row>
    <row r="147" spans="1:42" s="1" customFormat="1" x14ac:dyDescent="0.25">
      <c r="A147" s="3" t="s">
        <v>518</v>
      </c>
      <c r="B147" s="40">
        <f>B145-B146</f>
        <v>0</v>
      </c>
      <c r="C147" s="40">
        <f t="shared" ref="C147:AP147" si="18">C145-C146</f>
        <v>-7.8444392660972917E-4</v>
      </c>
      <c r="D147" s="40">
        <f t="shared" si="18"/>
        <v>-1.5423607639138276E-3</v>
      </c>
      <c r="E147" s="40">
        <f t="shared" si="18"/>
        <v>-2.2744644915416307E-3</v>
      </c>
      <c r="F147" s="40">
        <f t="shared" si="18"/>
        <v>-2.9814511357141998E-3</v>
      </c>
      <c r="G147" s="40">
        <f t="shared" si="18"/>
        <v>-3.663999209737645E-3</v>
      </c>
      <c r="H147" s="40">
        <f t="shared" si="18"/>
        <v>-4.3227701437900806E-3</v>
      </c>
      <c r="I147" s="40">
        <f t="shared" si="18"/>
        <v>-4.9584087042622779E-3</v>
      </c>
      <c r="J147" s="40">
        <f t="shared" si="18"/>
        <v>-5.5715434029042846E-3</v>
      </c>
      <c r="K147" s="40">
        <f t="shared" si="18"/>
        <v>-6.1627868960251603E-3</v>
      </c>
      <c r="L147" s="40">
        <f t="shared" si="18"/>
        <v>-6.7327363739867196E-3</v>
      </c>
      <c r="M147" s="40">
        <f t="shared" si="18"/>
        <v>-7.2819739412263024E-3</v>
      </c>
      <c r="N147" s="40">
        <f t="shared" si="18"/>
        <v>-7.8110669870378388E-3</v>
      </c>
      <c r="O147" s="40">
        <f t="shared" si="18"/>
        <v>-8.3205685473352886E-3</v>
      </c>
      <c r="P147" s="40">
        <f t="shared" si="18"/>
        <v>-8.8110176576166113E-3</v>
      </c>
      <c r="Q147" s="40">
        <f t="shared" si="18"/>
        <v>-9.2829396973415218E-3</v>
      </c>
      <c r="R147" s="40">
        <f t="shared" si="18"/>
        <v>-9.7368467259311212E-3</v>
      </c>
      <c r="S147" s="40">
        <f t="shared" si="18"/>
        <v>-1.017323781059204E-2</v>
      </c>
      <c r="T147" s="40">
        <f t="shared" si="18"/>
        <v>-1.0592599346163536E-2</v>
      </c>
      <c r="U147" s="40">
        <f t="shared" si="18"/>
        <v>-1.0995405367180452E-2</v>
      </c>
      <c r="V147" s="40">
        <f t="shared" si="18"/>
        <v>-1.1382117852340869E-2</v>
      </c>
      <c r="W147" s="40">
        <f t="shared" si="18"/>
        <v>-1.1753187021562306E-2</v>
      </c>
      <c r="X147" s="40">
        <f t="shared" si="18"/>
        <v>-1.2109051625806132E-2</v>
      </c>
      <c r="Y147" s="40">
        <f t="shared" si="18"/>
        <v>-1.2450139229845412E-2</v>
      </c>
      <c r="Z147" s="40">
        <f t="shared" si="18"/>
        <v>-1.2776866488147083E-2</v>
      </c>
      <c r="AA147" s="40">
        <f t="shared" si="18"/>
        <v>-1.3089639414035448E-2</v>
      </c>
      <c r="AB147" s="40">
        <f t="shared" si="18"/>
        <v>-1.3388853642299751E-2</v>
      </c>
      <c r="AC147" s="40">
        <f t="shared" si="18"/>
        <v>-1.367489468540465E-2</v>
      </c>
      <c r="AD147" s="40">
        <f t="shared" si="18"/>
        <v>-1.3948138183458737E-2</v>
      </c>
      <c r="AE147" s="40">
        <f t="shared" si="18"/>
        <v>-1.4208950148092335E-2</v>
      </c>
      <c r="AF147" s="40">
        <f t="shared" si="18"/>
        <v>-1.4457687200392189E-2</v>
      </c>
      <c r="AG147" s="40">
        <f t="shared" si="18"/>
        <v>-1.4694696803037137E-2</v>
      </c>
      <c r="AH147" s="40">
        <f t="shared" si="18"/>
        <v>-1.49203174867753E-2</v>
      </c>
      <c r="AI147" s="40">
        <f t="shared" si="18"/>
        <v>-1.5134879071380065E-2</v>
      </c>
      <c r="AJ147" s="40">
        <f t="shared" si="18"/>
        <v>-1.5338702881218552E-2</v>
      </c>
      <c r="AK147" s="40">
        <f t="shared" si="18"/>
        <v>-1.553210195556335E-2</v>
      </c>
      <c r="AL147" s="40">
        <f t="shared" si="18"/>
        <v>-1.5715381253774793E-2</v>
      </c>
      <c r="AM147" s="40">
        <f t="shared" si="18"/>
        <v>-1.5888837855478403E-2</v>
      </c>
      <c r="AN147" s="40">
        <f t="shared" si="18"/>
        <v>-1.605276115585862E-2</v>
      </c>
      <c r="AO147" s="40">
        <f t="shared" si="18"/>
        <v>-1.6207433056187361E-2</v>
      </c>
      <c r="AP147" s="40">
        <f t="shared" si="18"/>
        <v>-1.6353128149702988E-2</v>
      </c>
    </row>
    <row r="148" spans="1:42" s="218" customFormat="1" ht="12.75" x14ac:dyDescent="0.2">
      <c r="A148" s="217" t="s">
        <v>519</v>
      </c>
      <c r="B148" s="217">
        <f>B143+B144+B147</f>
        <v>-7.1095603382597461E-2</v>
      </c>
      <c r="C148" s="217">
        <f t="shared" ref="C148:AP148" si="19">C143+C144+C147</f>
        <v>-7.030014501181614E-2</v>
      </c>
      <c r="D148" s="217">
        <f t="shared" si="19"/>
        <v>-6.9513268491671207E-2</v>
      </c>
      <c r="E148" s="217">
        <f t="shared" si="19"/>
        <v>-6.873490760312663E-2</v>
      </c>
      <c r="F148" s="217">
        <f t="shared" si="19"/>
        <v>-6.7964995511486201E-2</v>
      </c>
      <c r="G148" s="217">
        <f t="shared" si="19"/>
        <v>-6.7203464821603609E-2</v>
      </c>
      <c r="H148" s="217">
        <f t="shared" si="19"/>
        <v>-6.6450247630947923E-2</v>
      </c>
      <c r="I148" s="217">
        <f t="shared" si="19"/>
        <v>-6.5705275580594386E-2</v>
      </c>
      <c r="J148" s="217">
        <f t="shared" si="19"/>
        <v>-6.4968479904206788E-2</v>
      </c>
      <c r="K148" s="217">
        <f t="shared" si="19"/>
        <v>-6.3551131341728073E-2</v>
      </c>
      <c r="L148" s="217">
        <f t="shared" si="19"/>
        <v>-6.21804121669364E-2</v>
      </c>
      <c r="M148" s="217">
        <f t="shared" si="19"/>
        <v>-6.0854607557602823E-2</v>
      </c>
      <c r="N148" s="217">
        <f t="shared" si="19"/>
        <v>-5.9572065650203544E-2</v>
      </c>
      <c r="O148" s="217">
        <f t="shared" si="19"/>
        <v>-5.8331195275031646E-2</v>
      </c>
      <c r="P148" s="217">
        <f t="shared" si="19"/>
        <v>-5.71304637713329E-2</v>
      </c>
      <c r="Q148" s="217">
        <f t="shared" si="19"/>
        <v>-5.59683948796761E-2</v>
      </c>
      <c r="R148" s="217">
        <f t="shared" si="19"/>
        <v>-5.4843566708863083E-2</v>
      </c>
      <c r="S148" s="217">
        <f t="shared" si="19"/>
        <v>-5.3754609774777515E-2</v>
      </c>
      <c r="T148" s="217">
        <f t="shared" si="19"/>
        <v>-5.2700205108661594E-2</v>
      </c>
      <c r="U148" s="217">
        <f t="shared" si="19"/>
        <v>-5.1679082432395954E-2</v>
      </c>
      <c r="V148" s="217">
        <f t="shared" si="19"/>
        <v>-5.069001839844281E-2</v>
      </c>
      <c r="W148" s="217">
        <f t="shared" si="19"/>
        <v>-4.9731834892192212E-2</v>
      </c>
      <c r="X148" s="217">
        <f t="shared" si="19"/>
        <v>-4.8803397394530677E-2</v>
      </c>
      <c r="Y148" s="217">
        <f t="shared" si="19"/>
        <v>-4.7903613402526135E-2</v>
      </c>
      <c r="Z148" s="217">
        <f t="shared" si="19"/>
        <v>-4.7031430906196096E-2</v>
      </c>
      <c r="AA148" s="217">
        <f t="shared" si="19"/>
        <v>-4.6185836919396817E-2</v>
      </c>
      <c r="AB148" s="217">
        <f t="shared" si="19"/>
        <v>-4.5365856062938748E-2</v>
      </c>
      <c r="AC148" s="217">
        <f t="shared" si="19"/>
        <v>-4.4570549198099343E-2</v>
      </c>
      <c r="AD148" s="217">
        <f t="shared" si="19"/>
        <v>-4.3799012108767618E-2</v>
      </c>
      <c r="AE148" s="217">
        <f t="shared" si="19"/>
        <v>-4.3050374230516372E-2</v>
      </c>
      <c r="AF148" s="217">
        <f t="shared" si="19"/>
        <v>-4.2323797424956483E-2</v>
      </c>
      <c r="AG148" s="217">
        <f t="shared" si="19"/>
        <v>-4.1618474797785243E-2</v>
      </c>
      <c r="AH148" s="217">
        <f t="shared" si="19"/>
        <v>-4.0933629558995696E-2</v>
      </c>
      <c r="AI148" s="217">
        <f t="shared" si="19"/>
        <v>-4.0268513923766923E-2</v>
      </c>
      <c r="AJ148" s="217">
        <f t="shared" si="19"/>
        <v>-3.9622408052606826E-2</v>
      </c>
      <c r="AK148" s="217">
        <f t="shared" si="19"/>
        <v>-3.8994619029368439E-2</v>
      </c>
      <c r="AL148" s="217">
        <f t="shared" si="19"/>
        <v>-3.8384479875808702E-2</v>
      </c>
      <c r="AM148" s="217">
        <f t="shared" si="19"/>
        <v>-3.7791348601404887E-2</v>
      </c>
      <c r="AN148" s="217">
        <f t="shared" si="19"/>
        <v>-3.7214607287188561E-2</v>
      </c>
      <c r="AO148" s="217">
        <f t="shared" si="19"/>
        <v>-3.6653661202399865E-2</v>
      </c>
      <c r="AP148" s="217">
        <f t="shared" si="19"/>
        <v>-1.6353128149702988E-2</v>
      </c>
    </row>
    <row r="149" spans="1:42" s="1" customFormat="1" x14ac:dyDescent="0.25">
      <c r="A149" s="36" t="s">
        <v>520</v>
      </c>
      <c r="B149" s="40">
        <f>IF(Diskontering!B16&lt;=Diskontering!$A$5,($B$101*Diskontering!B26),0)</f>
        <v>-1.8089030313995873E-2</v>
      </c>
      <c r="C149" s="40">
        <f>IF(Diskontering!C16&lt;=Diskontering!$A$5,($B$101*Diskontering!C26),0)</f>
        <v>-1.7652097214623994E-2</v>
      </c>
      <c r="D149" s="40">
        <f>IF(Diskontering!D16&lt;=Diskontering!$A$5,($B$101*Diskontering!D26),0)</f>
        <v>-1.7225718054850465E-2</v>
      </c>
      <c r="E149" s="40">
        <f>IF(Diskontering!E16&lt;=Diskontering!$A$5,($B$101*Diskontering!E26),0)</f>
        <v>-1.6809637908598043E-2</v>
      </c>
      <c r="F149" s="40">
        <f>IF(Diskontering!F16&lt;=Diskontering!$A$5,($B$101*Diskontering!F26),0)</f>
        <v>-1.6403608007424179E-2</v>
      </c>
      <c r="G149" s="40">
        <f>IF(Diskontering!G16&lt;=Diskontering!$A$5,($B$101*Diskontering!G26),0)</f>
        <v>-1.6007385591785914E-2</v>
      </c>
      <c r="H149" s="40">
        <f>IF(Diskontering!H16&lt;=Diskontering!$A$5,($B$101*Diskontering!H26),0)</f>
        <v>-1.5620733765897368E-2</v>
      </c>
      <c r="I149" s="40">
        <f>IF(Diskontering!I16&lt;=Diskontering!$A$5,($B$101*Diskontering!I26),0)</f>
        <v>-1.5243421356093084E-2</v>
      </c>
      <c r="J149" s="40">
        <f>IF(Diskontering!J16&lt;=Diskontering!$A$5,($B$101*Diskontering!J26),0)</f>
        <v>-1.4875222772612575E-2</v>
      </c>
      <c r="K149" s="40">
        <f>IF(Diskontering!K16&lt;=Diskontering!$A$5,($B$101*Diskontering!K26),0)</f>
        <v>-1.4515917874723385E-2</v>
      </c>
      <c r="L149" s="40">
        <f>IF(Diskontering!L16&lt;=Diskontering!$A$5,($B$101*Diskontering!L26),0)</f>
        <v>-1.4165291839102048E-2</v>
      </c>
      <c r="M149" s="40">
        <f>IF(Diskontering!M16&lt;=Diskontering!$A$5,($B$101*Diskontering!M26),0)</f>
        <v>-1.3823135031394273E-2</v>
      </c>
      <c r="N149" s="40">
        <f>IF(Diskontering!N16&lt;=Diskontering!$A$5,($B$101*Diskontering!N26),0)</f>
        <v>-1.3489242880877503E-2</v>
      </c>
      <c r="O149" s="40">
        <f>IF(Diskontering!O16&lt;=Diskontering!$A$5,($B$101*Diskontering!O26),0)</f>
        <v>-1.3163415758150996E-2</v>
      </c>
      <c r="P149" s="40">
        <f>IF(Diskontering!P16&lt;=Diskontering!$A$5,($B$101*Diskontering!P26),0)</f>
        <v>-1.2845458855780199E-2</v>
      </c>
      <c r="Q149" s="40">
        <f>IF(Diskontering!Q16&lt;=Diskontering!$A$5,($B$101*Diskontering!Q26),0)</f>
        <v>-1.2535182071824158E-2</v>
      </c>
      <c r="R149" s="40">
        <f>IF(Diskontering!R16&lt;=Diskontering!$A$5,($B$101*Diskontering!R26),0)</f>
        <v>-1.2232399896176234E-2</v>
      </c>
      <c r="S149" s="40">
        <f>IF(Diskontering!S16&lt;=Diskontering!$A$5,($B$101*Diskontering!S26),0)</f>
        <v>-1.1936931299650235E-2</v>
      </c>
      <c r="T149" s="40">
        <f>IF(Diskontering!T16&lt;=Diskontering!$A$5,($B$101*Diskontering!T26),0)</f>
        <v>-1.1648599625745644E-2</v>
      </c>
      <c r="U149" s="40">
        <f>IF(Diskontering!U16&lt;=Diskontering!$A$5,($B$101*Diskontering!U26),0)</f>
        <v>-1.136723248502715E-2</v>
      </c>
      <c r="V149" s="40">
        <f>IF(Diskontering!V16&lt;=Diskontering!$A$5,($B$101*Diskontering!V26),0)</f>
        <v>-1.1092661652055483E-2</v>
      </c>
      <c r="W149" s="40">
        <f>IF(Diskontering!W16&lt;=Diskontering!$A$5,($B$101*Diskontering!W26),0)</f>
        <v>-1.0824722964807765E-2</v>
      </c>
      <c r="X149" s="40">
        <f>IF(Diskontering!X16&lt;=Diskontering!$A$5,($B$101*Diskontering!X26),0)</f>
        <v>-1.0563256226527387E-2</v>
      </c>
      <c r="Y149" s="40">
        <f>IF(Diskontering!Y16&lt;=Diskontering!$A$5,($B$101*Diskontering!Y26),0)</f>
        <v>-1.0308105109944602E-2</v>
      </c>
      <c r="Z149" s="40">
        <f>IF(Diskontering!Z16&lt;=Diskontering!$A$5,($B$101*Diskontering!Z26),0)</f>
        <v>-1.0059117063810675E-2</v>
      </c>
      <c r="AA149" s="40">
        <f>IF(Diskontering!AA16&lt;=Diskontering!$A$5,($B$101*Diskontering!AA26),0)</f>
        <v>-9.8161432216896435E-3</v>
      </c>
      <c r="AB149" s="40">
        <f>IF(Diskontering!AB16&lt;=Diskontering!$A$5,($B$101*Diskontering!AB26),0)</f>
        <v>-9.5790383129531788E-3</v>
      </c>
      <c r="AC149" s="40">
        <f>IF(Diskontering!AC16&lt;=Diskontering!$A$5,($B$101*Diskontering!AC26),0)</f>
        <v>-9.3476605759253237E-3</v>
      </c>
      <c r="AD149" s="40">
        <f>IF(Diskontering!AD16&lt;=Diskontering!$A$5,($B$101*Diskontering!AD26),0)</f>
        <v>-9.1218716731251981E-3</v>
      </c>
      <c r="AE149" s="40">
        <f>IF(Diskontering!AE16&lt;=Diskontering!$A$5,($B$101*Diskontering!AE26),0)</f>
        <v>-8.9015366085569581E-3</v>
      </c>
      <c r="AF149" s="40">
        <f>IF(Diskontering!AF16&lt;=Diskontering!$A$5,($B$101*Diskontering!AF26),0)</f>
        <v>-8.6865236469976133E-3</v>
      </c>
      <c r="AG149" s="40">
        <f>IF(Diskontering!AG16&lt;=Diskontering!$A$5,($B$101*Diskontering!AG26),0)</f>
        <v>-8.4767042352343856E-3</v>
      </c>
      <c r="AH149" s="40">
        <f>IF(Diskontering!AH16&lt;=Diskontering!$A$5,($B$101*Diskontering!AH26),0)</f>
        <v>-8.27195292520457E-3</v>
      </c>
      <c r="AI149" s="40">
        <f>IF(Diskontering!AI16&lt;=Diskontering!$A$5,($B$101*Diskontering!AI26),0)</f>
        <v>-8.0721472989919007E-3</v>
      </c>
      <c r="AJ149" s="40">
        <f>IF(Diskontering!AJ16&lt;=Diskontering!$A$5,($B$101*Diskontering!AJ26),0)</f>
        <v>-7.877167895634609E-3</v>
      </c>
      <c r="AK149" s="40">
        <f>IF(Diskontering!AK16&lt;=Diskontering!$A$5,($B$101*Diskontering!AK26),0)</f>
        <v>-7.686898139701406E-3</v>
      </c>
      <c r="AL149" s="40">
        <f>IF(Diskontering!AL16&lt;=Diskontering!$A$5,($B$101*Diskontering!AL26),0)</f>
        <v>-7.5012242715926771E-3</v>
      </c>
      <c r="AM149" s="40">
        <f>IF(Diskontering!AM16&lt;=Diskontering!$A$5,($B$101*Diskontering!AM26),0)</f>
        <v>-7.3200352795252215E-3</v>
      </c>
      <c r="AN149" s="40">
        <f>IF(Diskontering!AN16&lt;=Diskontering!$A$5,($B$101*Diskontering!AN26),0)</f>
        <v>-7.143222833159879E-3</v>
      </c>
      <c r="AO149" s="40">
        <f>IF(Diskontering!AO16&lt;=Diskontering!$A$5,($B$101*Diskontering!AO26),0)</f>
        <v>-6.9706812188323466E-3</v>
      </c>
      <c r="AP149" s="40">
        <f>IF(Diskontering!AP16&lt;=Diskontering!$A$5,($B$101*Diskontering!AP26),0)</f>
        <v>-6.8023072763484741E-3</v>
      </c>
    </row>
    <row r="150" spans="1:42" s="218" customFormat="1" ht="12.75" x14ac:dyDescent="0.2">
      <c r="A150" s="217" t="s">
        <v>521</v>
      </c>
      <c r="B150" s="217">
        <f>IF(Diskontering!B16&lt;=Diskontering!$A$5,($B$101*'Kalkylvärden 1'!$D$162*Diskontering!B35),0)</f>
        <v>-6.8287905603036624E-3</v>
      </c>
      <c r="C150" s="217">
        <f>IF(Diskontering!C16&lt;=Diskontering!$A$5,($B$101*'Kalkylvärden 1'!$D$162*Diskontering!C35),0)</f>
        <v>-6.7628119075471048E-3</v>
      </c>
      <c r="D150" s="217">
        <f>IF(Diskontering!D16&lt;=Diskontering!$A$5,($B$101*'Kalkylvärden 1'!$D$162*Diskontering!D35),0)</f>
        <v>-6.6974707296964088E-3</v>
      </c>
      <c r="E150" s="217">
        <f>IF(Diskontering!E16&lt;=Diskontering!$A$5,($B$101*'Kalkylvärden 1'!$D$162*Diskontering!E35),0)</f>
        <v>-6.6327608675737391E-3</v>
      </c>
      <c r="F150" s="217">
        <f>IF(Diskontering!F16&lt;=Diskontering!$A$5,($B$101*'Kalkylvärden 1'!$D$162*Diskontering!F35),0)</f>
        <v>-6.5686762215102232E-3</v>
      </c>
      <c r="G150" s="217">
        <f>IF(Diskontering!G16&lt;=Diskontering!$A$5,($B$101*'Kalkylvärden 1'!$D$162*Diskontering!G35),0)</f>
        <v>-6.5052107507709948E-3</v>
      </c>
      <c r="H150" s="217">
        <f>IF(Diskontering!H16&lt;=Diskontering!$A$5,($B$101*'Kalkylvärden 1'!$D$162*Diskontering!H35),0)</f>
        <v>-6.4423584729857682E-3</v>
      </c>
      <c r="I150" s="217">
        <f>IF(Diskontering!I16&lt;=Diskontering!$A$5,($B$101*'Kalkylvärden 1'!$D$162*Diskontering!I35),0)</f>
        <v>-6.3801134635849393E-3</v>
      </c>
      <c r="J150" s="217">
        <f>IF(Diskontering!J16&lt;=Diskontering!$A$5,($B$101*'Kalkylvärden 1'!$D$162*Diskontering!J35),0)</f>
        <v>-6.3184698552411229E-3</v>
      </c>
      <c r="K150" s="217">
        <f>IF(Diskontering!K16&lt;=Diskontering!$A$5,($B$101*'Kalkylvärden 1'!$D$162*Diskontering!K35),0)</f>
        <v>-6.257421837316088E-3</v>
      </c>
      <c r="L150" s="217">
        <f>IF(Diskontering!L16&lt;=Diskontering!$A$5,($B$101*'Kalkylvärden 1'!$D$162*Diskontering!L35),0)</f>
        <v>-6.1969636553130336E-3</v>
      </c>
      <c r="M150" s="217">
        <f>IF(Diskontering!M16&lt;=Diskontering!$A$5,($B$101*'Kalkylvärden 1'!$D$162*Diskontering!M35),0)</f>
        <v>-6.1370896103341644E-3</v>
      </c>
      <c r="N150" s="217">
        <f>IF(Diskontering!N16&lt;=Diskontering!$A$5,($B$101*'Kalkylvärden 1'!$D$162*Diskontering!N35),0)</f>
        <v>-6.0777940585434957E-3</v>
      </c>
      <c r="O150" s="217">
        <f>IF(Diskontering!O16&lt;=Diskontering!$A$5,($B$101*'Kalkylvärden 1'!$D$162*Diskontering!O35),0)</f>
        <v>-6.0190714106348638E-3</v>
      </c>
      <c r="P150" s="217">
        <f>IF(Diskontering!P16&lt;=Diskontering!$A$5,($B$101*'Kalkylvärden 1'!$D$162*Diskontering!P35),0)</f>
        <v>-5.9609161313050581E-3</v>
      </c>
      <c r="Q150" s="217">
        <f>IF(Diskontering!Q16&lt;=Diskontering!$A$5,($B$101*'Kalkylvärden 1'!$D$162*Diskontering!Q35),0)</f>
        <v>-5.9033227387320615E-3</v>
      </c>
      <c r="R150" s="217">
        <f>IF(Diskontering!R16&lt;=Diskontering!$A$5,($B$101*'Kalkylvärden 1'!$D$162*Diskontering!R35),0)</f>
        <v>-5.8462858040583222E-3</v>
      </c>
      <c r="S150" s="217">
        <f>IF(Diskontering!S16&lt;=Diskontering!$A$5,($B$101*'Kalkylvärden 1'!$D$162*Diskontering!S35),0)</f>
        <v>-5.7897999508790135E-3</v>
      </c>
      <c r="T150" s="217">
        <f>IF(Diskontering!T16&lt;=Diskontering!$A$5,($B$101*'Kalkylvärden 1'!$D$162*Diskontering!T35),0)</f>
        <v>-5.7338598547352565E-3</v>
      </c>
      <c r="U150" s="217">
        <f>IF(Diskontering!U16&lt;=Diskontering!$A$5,($B$101*'Kalkylvärden 1'!$D$162*Diskontering!U35),0)</f>
        <v>-5.6784602426122096E-3</v>
      </c>
      <c r="V150" s="217">
        <f>IF(Diskontering!V16&lt;=Diskontering!$A$5,($B$101*'Kalkylvärden 1'!$D$162*Diskontering!V35),0)</f>
        <v>-5.6235958924420442E-3</v>
      </c>
      <c r="W150" s="217">
        <f>IF(Diskontering!W16&lt;=Diskontering!$A$5,($B$101*'Kalkylvärden 1'!$D$162*Diskontering!W35),0)</f>
        <v>-5.5692616326116851E-3</v>
      </c>
      <c r="X150" s="217">
        <f>IF(Diskontering!X16&lt;=Diskontering!$A$5,($B$101*'Kalkylvärden 1'!$D$162*Diskontering!X35),0)</f>
        <v>-5.5154523414753407E-3</v>
      </c>
      <c r="Y150" s="217">
        <f>IF(Diskontering!Y16&lt;=Diskontering!$A$5,($B$101*'Kalkylvärden 1'!$D$162*Diskontering!Y35),0)</f>
        <v>-5.4621629468717143E-3</v>
      </c>
      <c r="Z150" s="217">
        <f>IF(Diskontering!Z16&lt;=Diskontering!$A$5,($B$101*'Kalkylvärden 1'!$D$162*Diskontering!Z35),0)</f>
        <v>-5.4093884256459007E-3</v>
      </c>
      <c r="AA150" s="217">
        <f>IF(Diskontering!AA16&lt;=Diskontering!$A$5,($B$101*'Kalkylvärden 1'!$D$162*Diskontering!AA35),0)</f>
        <v>-5.3571238031758913E-3</v>
      </c>
      <c r="AB150" s="217">
        <f>IF(Diskontering!AB16&lt;=Diskontering!$A$5,($B$101*'Kalkylvärden 1'!$D$162*Diskontering!AB35),0)</f>
        <v>-5.3053641529036601E-3</v>
      </c>
      <c r="AC150" s="217">
        <f>IF(Diskontering!AC16&lt;=Diskontering!$A$5,($B$101*'Kalkylvärden 1'!$D$162*Diskontering!AC35),0)</f>
        <v>-5.2541045958707745E-3</v>
      </c>
      <c r="AD150" s="217">
        <f>IF(Diskontering!AD16&lt;=Diskontering!$A$5,($B$101*'Kalkylvärden 1'!$D$162*Diskontering!AD35),0)</f>
        <v>-5.2033403002584968E-3</v>
      </c>
      <c r="AE150" s="217">
        <f>IF(Diskontering!AE16&lt;=Diskontering!$A$5,($B$101*'Kalkylvärden 1'!$D$162*Diskontering!AE35),0)</f>
        <v>-5.1530664809323274E-3</v>
      </c>
      <c r="AF150" s="217">
        <f>IF(Diskontering!AF16&lt;=Diskontering!$A$5,($B$101*'Kalkylvärden 1'!$D$162*Diskontering!AF35),0)</f>
        <v>-5.1032783989909524E-3</v>
      </c>
      <c r="AG150" s="217">
        <f>IF(Diskontering!AG16&lt;=Diskontering!$A$5,($B$101*'Kalkylvärden 1'!$D$162*Diskontering!AG35),0)</f>
        <v>-5.053971361319542E-3</v>
      </c>
      <c r="AH150" s="217">
        <f>IF(Diskontering!AH16&lt;=Diskontering!$A$5,($B$101*'Kalkylvärden 1'!$D$162*Diskontering!AH35),0)</f>
        <v>-5.0051407201473722E-3</v>
      </c>
      <c r="AI150" s="217">
        <f>IF(Diskontering!AI16&lt;=Diskontering!$A$5,($B$101*'Kalkylvärden 1'!$D$162*Diskontering!AI35),0)</f>
        <v>-4.9567818726097166E-3</v>
      </c>
      <c r="AJ150" s="217">
        <f>IF(Diskontering!AJ16&lt;=Diskontering!$A$5,($B$101*'Kalkylvärden 1'!$D$162*Diskontering!AJ35),0)</f>
        <v>-4.90889026031397E-3</v>
      </c>
      <c r="AK150" s="217">
        <f>IF(Diskontering!AK16&lt;=Diskontering!$A$5,($B$101*'Kalkylvärden 1'!$D$162*Diskontering!AK35),0)</f>
        <v>-4.8614613689099704E-3</v>
      </c>
      <c r="AL150" s="217">
        <f>IF(Diskontering!AL16&lt;=Diskontering!$A$5,($B$101*'Kalkylvärden 1'!$D$162*Diskontering!AL35),0)</f>
        <v>-4.8144907276644637E-3</v>
      </c>
      <c r="AM150" s="217">
        <f>IF(Diskontering!AM16&lt;=Diskontering!$A$5,($B$101*'Kalkylvärden 1'!$D$162*Diskontering!AM35),0)</f>
        <v>-4.7679739090396855E-3</v>
      </c>
      <c r="AN150" s="217">
        <f>IF(Diskontering!AN16&lt;=Diskontering!$A$5,($B$101*'Kalkylvärden 1'!$D$162*Diskontering!AN35),0)</f>
        <v>-4.7219065282760181E-3</v>
      </c>
      <c r="AO150" s="217">
        <f>IF(Diskontering!AO16&lt;=Diskontering!$A$5,($B$101*'Kalkylvärden 1'!$D$162*Diskontering!AO35),0)</f>
        <v>-4.6762842429786651E-3</v>
      </c>
      <c r="AP150" s="217">
        <f>IF(Diskontering!AP16&lt;=Diskontering!$A$5,($B$101*'Kalkylvärden 1'!$D$162*Diskontering!AP35),0)</f>
        <v>-4.6311027527083399E-3</v>
      </c>
    </row>
    <row r="151" spans="1:42" s="218" customFormat="1" ht="12.75" x14ac:dyDescent="0.2">
      <c r="A151" s="217" t="s">
        <v>522</v>
      </c>
      <c r="B151" s="217">
        <f>IF(Diskontering!B16&lt;=Diskontering!$A$5,($B$101*'Kalkylvärden 1'!$D$162*Diskontering!B26),0)</f>
        <v>-6.8287905603036624E-3</v>
      </c>
      <c r="C151" s="217">
        <f>IF(Diskontering!C16&lt;=Diskontering!$A$5,($B$101*'Kalkylvärden 1'!$D$162*Diskontering!C26),0)</f>
        <v>-6.6638439284122707E-3</v>
      </c>
      <c r="D151" s="217">
        <f>IF(Diskontering!D16&lt;=Diskontering!$A$5,($B$101*'Kalkylvärden 1'!$D$162*Diskontering!D26),0)</f>
        <v>-6.5028815146825052E-3</v>
      </c>
      <c r="E151" s="217">
        <f>IF(Diskontering!E16&lt;=Diskontering!$A$5,($B$101*'Kalkylvärden 1'!$D$162*Diskontering!E26),0)</f>
        <v>-6.3458070819607058E-3</v>
      </c>
      <c r="F151" s="217">
        <f>IF(Diskontering!F16&lt;=Diskontering!$A$5,($B$101*'Kalkylvärden 1'!$D$162*Diskontering!F26),0)</f>
        <v>-6.1925267176621392E-3</v>
      </c>
      <c r="G151" s="217">
        <f>IF(Diskontering!G16&lt;=Diskontering!$A$5,($B$101*'Kalkylvärden 1'!$D$162*Diskontering!G26),0)</f>
        <v>-6.0429487776219913E-3</v>
      </c>
      <c r="H151" s="217">
        <f>IF(Diskontering!H16&lt;=Diskontering!$A$5,($B$101*'Kalkylvärden 1'!$D$162*Diskontering!H26),0)</f>
        <v>-5.8969838313026202E-3</v>
      </c>
      <c r="I151" s="217">
        <f>IF(Diskontering!I16&lt;=Diskontering!$A$5,($B$101*'Kalkylvärden 1'!$D$162*Diskontering!I26),0)</f>
        <v>-5.7545446083242966E-3</v>
      </c>
      <c r="J151" s="217">
        <f>IF(Diskontering!J16&lt;=Diskontering!$A$5,($B$101*'Kalkylvärden 1'!$D$162*Diskontering!J26),0)</f>
        <v>-5.6155459462874776E-3</v>
      </c>
      <c r="K151" s="217">
        <f>IF(Diskontering!K16&lt;=Diskontering!$A$5,($B$101*'Kalkylvärden 1'!$D$162*Diskontering!K26),0)</f>
        <v>-5.4799047398554138E-3</v>
      </c>
      <c r="L151" s="217">
        <f>IF(Diskontering!L16&lt;=Diskontering!$A$5,($B$101*'Kalkylvärden 1'!$D$162*Diskontering!L26),0)</f>
        <v>-5.3475398910666364E-3</v>
      </c>
      <c r="M151" s="217">
        <f>IF(Diskontering!M16&lt;=Diskontering!$A$5,($B$101*'Kalkylvärden 1'!$D$162*Diskontering!M26),0)</f>
        <v>-5.2183722608476367E-3</v>
      </c>
      <c r="N151" s="217">
        <f>IF(Diskontering!N16&lt;=Diskontering!$A$5,($B$101*'Kalkylvärden 1'!$D$162*Diskontering!N26),0)</f>
        <v>-5.0923246216967276E-3</v>
      </c>
      <c r="O151" s="217">
        <f>IF(Diskontering!O16&lt;=Diskontering!$A$5,($B$101*'Kalkylvärden 1'!$D$162*Diskontering!O26),0)</f>
        <v>-4.9693216115108173E-3</v>
      </c>
      <c r="P151" s="217">
        <f>IF(Diskontering!P16&lt;=Diskontering!$A$5,($B$101*'Kalkylvärden 1'!$D$162*Diskontering!P26),0)</f>
        <v>-4.8492896885274648E-3</v>
      </c>
      <c r="Q151" s="217">
        <f>IF(Diskontering!Q16&lt;=Diskontering!$A$5,($B$101*'Kalkylvärden 1'!$D$162*Diskontering!Q26),0)</f>
        <v>-4.7321570873553043E-3</v>
      </c>
      <c r="R151" s="217">
        <f>IF(Diskontering!R16&lt;=Diskontering!$A$5,($B$101*'Kalkylvärden 1'!$D$162*Diskontering!R26),0)</f>
        <v>-4.6178537760665295E-3</v>
      </c>
      <c r="S151" s="217">
        <f>IF(Diskontering!S16&lt;=Diskontering!$A$5,($B$101*'Kalkylvärden 1'!$D$162*Diskontering!S26),0)</f>
        <v>-4.5063114143257914E-3</v>
      </c>
      <c r="T151" s="217">
        <f>IF(Diskontering!T16&lt;=Diskontering!$A$5,($B$101*'Kalkylvärden 1'!$D$162*Diskontering!T26),0)</f>
        <v>-4.3974633125304832E-3</v>
      </c>
      <c r="U151" s="217">
        <f>IF(Diskontering!U16&lt;=Diskontering!$A$5,($B$101*'Kalkylvärden 1'!$D$162*Diskontering!U26),0)</f>
        <v>-4.29124439193796E-3</v>
      </c>
      <c r="V151" s="217">
        <f>IF(Diskontering!V16&lt;=Diskontering!$A$5,($B$101*'Kalkylvärden 1'!$D$162*Diskontering!V26),0)</f>
        <v>-4.1875911457558848E-3</v>
      </c>
      <c r="W151" s="217">
        <f>IF(Diskontering!W16&lt;=Diskontering!$A$5,($B$101*'Kalkylvärden 1'!$D$162*Diskontering!W26),0)</f>
        <v>-4.0864416011724093E-3</v>
      </c>
      <c r="X151" s="217">
        <f>IF(Diskontering!X16&lt;=Diskontering!$A$5,($B$101*'Kalkylvärden 1'!$D$162*Diskontering!X26),0)</f>
        <v>-3.9877352823035114E-3</v>
      </c>
      <c r="Y151" s="217">
        <f>IF(Diskontering!Y16&lt;=Diskontering!$A$5,($B$101*'Kalkylvärden 1'!$D$162*Diskontering!Y26),0)</f>
        <v>-3.8914131740353112E-3</v>
      </c>
      <c r="Z151" s="217">
        <f>IF(Diskontering!Z16&lt;=Diskontering!$A$5,($B$101*'Kalkylvärden 1'!$D$162*Diskontering!Z26),0)</f>
        <v>-3.7974176867397727E-3</v>
      </c>
      <c r="AA151" s="217">
        <f>IF(Diskontering!AA16&lt;=Diskontering!$A$5,($B$101*'Kalkylvärden 1'!$D$162*Diskontering!AA26),0)</f>
        <v>-3.7056926218426763E-3</v>
      </c>
      <c r="AB151" s="217">
        <f>IF(Diskontering!AB16&lt;=Diskontering!$A$5,($B$101*'Kalkylvärden 1'!$D$162*Diskontering!AB26),0)</f>
        <v>-3.6161831382232885E-3</v>
      </c>
      <c r="AC151" s="217">
        <f>IF(Diskontering!AC16&lt;=Diskontering!$A$5,($B$101*'Kalkylvärden 1'!$D$162*Diskontering!AC26),0)</f>
        <v>-3.5288357194256242E-3</v>
      </c>
      <c r="AD151" s="217">
        <f>IF(Diskontering!AD16&lt;=Diskontering!$A$5,($B$101*'Kalkylvärden 1'!$D$162*Diskontering!AD26),0)</f>
        <v>-3.443598141661721E-3</v>
      </c>
      <c r="AE151" s="217">
        <f>IF(Diskontering!AE16&lt;=Diskontering!$A$5,($B$101*'Kalkylvärden 1'!$D$162*Diskontering!AE26),0)</f>
        <v>-3.3604194425877671E-3</v>
      </c>
      <c r="AF151" s="217">
        <f>IF(Diskontering!AF16&lt;=Diskontering!$A$5,($B$101*'Kalkylvärden 1'!$D$162*Diskontering!AF26),0)</f>
        <v>-3.2792498908344398E-3</v>
      </c>
      <c r="AG151" s="217">
        <f>IF(Diskontering!AG16&lt;=Diskontering!$A$5,($B$101*'Kalkylvärden 1'!$D$162*Diskontering!AG26),0)</f>
        <v>-3.2000409562732211E-3</v>
      </c>
      <c r="AH151" s="217">
        <f>IF(Diskontering!AH16&lt;=Diskontering!$A$5,($B$101*'Kalkylvärden 1'!$D$162*Diskontering!AH26),0)</f>
        <v>-3.1227452810009219E-3</v>
      </c>
      <c r="AI151" s="217">
        <f>IF(Diskontering!AI16&lt;=Diskontering!$A$5,($B$101*'Kalkylvärden 1'!$D$162*Diskontering!AI26),0)</f>
        <v>-3.0473166510250542E-3</v>
      </c>
      <c r="AJ151" s="217">
        <f>IF(Diskontering!AJ16&lt;=Diskontering!$A$5,($B$101*'Kalkylvärden 1'!$D$162*Diskontering!AJ26),0)</f>
        <v>-2.9737099686331456E-3</v>
      </c>
      <c r="AK151" s="217">
        <f>IF(Diskontering!AK16&lt;=Diskontering!$A$5,($B$101*'Kalkylvärden 1'!$D$162*Diskontering!AK26),0)</f>
        <v>-2.9018812254294462E-3</v>
      </c>
      <c r="AL151" s="217">
        <f>IF(Diskontering!AL16&lt;=Diskontering!$A$5,($B$101*'Kalkylvärden 1'!$D$162*Diskontering!AL26),0)</f>
        <v>-2.8317874760229382E-3</v>
      </c>
      <c r="AM151" s="217">
        <f>IF(Diskontering!AM16&lt;=Diskontering!$A$5,($B$101*'Kalkylvärden 1'!$D$162*Diskontering!AM26),0)</f>
        <v>-2.7633868123508867E-3</v>
      </c>
      <c r="AN151" s="217">
        <f>IF(Diskontering!AN16&lt;=Diskontering!$A$5,($B$101*'Kalkylvärden 1'!$D$162*Diskontering!AN26),0)</f>
        <v>-2.6966383386226047E-3</v>
      </c>
      <c r="AO151" s="217">
        <f>IF(Diskontering!AO16&lt;=Diskontering!$A$5,($B$101*'Kalkylvärden 1'!$D$162*Diskontering!AO26),0)</f>
        <v>-2.6315021468684358E-3</v>
      </c>
      <c r="AP151" s="217">
        <f>IF(Diskontering!AP16&lt;=Diskontering!$A$5,($B$101*'Kalkylvärden 1'!$D$162*Diskontering!AP26),0)</f>
        <v>-2.5679392930793433E-3</v>
      </c>
    </row>
    <row r="152" spans="1:42" x14ac:dyDescent="0.25">
      <c r="A152" s="36" t="s">
        <v>523</v>
      </c>
      <c r="B152" s="40">
        <f>B150-B151</f>
        <v>0</v>
      </c>
      <c r="C152" s="40">
        <f t="shared" ref="C152:AP152" si="20">C150-C151</f>
        <v>-9.8967979134834128E-5</v>
      </c>
      <c r="D152" s="40">
        <f t="shared" si="20"/>
        <v>-1.945892150139036E-4</v>
      </c>
      <c r="E152" s="40">
        <f t="shared" si="20"/>
        <v>-2.8695378561303334E-4</v>
      </c>
      <c r="F152" s="40">
        <f t="shared" si="20"/>
        <v>-3.7614950384808402E-4</v>
      </c>
      <c r="G152" s="40">
        <f t="shared" si="20"/>
        <v>-4.6226197314900349E-4</v>
      </c>
      <c r="H152" s="40">
        <f t="shared" si="20"/>
        <v>-5.4537464168314797E-4</v>
      </c>
      <c r="I152" s="40">
        <f t="shared" si="20"/>
        <v>-6.2556885526064265E-4</v>
      </c>
      <c r="J152" s="40">
        <f t="shared" si="20"/>
        <v>-7.0292390895364525E-4</v>
      </c>
      <c r="K152" s="40">
        <f t="shared" si="20"/>
        <v>-7.7751709746067422E-4</v>
      </c>
      <c r="L152" s="40">
        <f t="shared" si="20"/>
        <v>-8.4942376424639726E-4</v>
      </c>
      <c r="M152" s="40">
        <f t="shared" si="20"/>
        <v>-9.1871734948652771E-4</v>
      </c>
      <c r="N152" s="40">
        <f t="shared" si="20"/>
        <v>-9.8546943684676806E-4</v>
      </c>
      <c r="O152" s="40">
        <f t="shared" si="20"/>
        <v>-1.0497497991240464E-3</v>
      </c>
      <c r="P152" s="40">
        <f t="shared" si="20"/>
        <v>-1.1116264427775933E-3</v>
      </c>
      <c r="Q152" s="40">
        <f t="shared" si="20"/>
        <v>-1.1711656513767573E-3</v>
      </c>
      <c r="R152" s="40">
        <f t="shared" si="20"/>
        <v>-1.2284320279917927E-3</v>
      </c>
      <c r="S152" s="40">
        <f t="shared" si="20"/>
        <v>-1.2834885365532222E-3</v>
      </c>
      <c r="T152" s="40">
        <f t="shared" si="20"/>
        <v>-1.3363965422047734E-3</v>
      </c>
      <c r="U152" s="40">
        <f t="shared" si="20"/>
        <v>-1.3872158506742496E-3</v>
      </c>
      <c r="V152" s="40">
        <f t="shared" si="20"/>
        <v>-1.4360047466861594E-3</v>
      </c>
      <c r="W152" s="40">
        <f t="shared" si="20"/>
        <v>-1.4828200314392758E-3</v>
      </c>
      <c r="X152" s="40">
        <f t="shared" si="20"/>
        <v>-1.5277170591718294E-3</v>
      </c>
      <c r="Y152" s="40">
        <f t="shared" si="20"/>
        <v>-1.5707497728364031E-3</v>
      </c>
      <c r="Z152" s="40">
        <f t="shared" si="20"/>
        <v>-1.611970738906128E-3</v>
      </c>
      <c r="AA152" s="40">
        <f t="shared" si="20"/>
        <v>-1.651431181333215E-3</v>
      </c>
      <c r="AB152" s="40">
        <f t="shared" si="20"/>
        <v>-1.6891810146803716E-3</v>
      </c>
      <c r="AC152" s="40">
        <f t="shared" si="20"/>
        <v>-1.7252688764451502E-3</v>
      </c>
      <c r="AD152" s="40">
        <f t="shared" si="20"/>
        <v>-1.7597421585967758E-3</v>
      </c>
      <c r="AE152" s="40">
        <f t="shared" si="20"/>
        <v>-1.7926470383445602E-3</v>
      </c>
      <c r="AF152" s="40">
        <f t="shared" si="20"/>
        <v>-1.8240285081565126E-3</v>
      </c>
      <c r="AG152" s="40">
        <f t="shared" si="20"/>
        <v>-1.8539304050463209E-3</v>
      </c>
      <c r="AH152" s="40">
        <f t="shared" si="20"/>
        <v>-1.8823954391464504E-3</v>
      </c>
      <c r="AI152" s="40">
        <f t="shared" si="20"/>
        <v>-1.9094652215846625E-3</v>
      </c>
      <c r="AJ152" s="40">
        <f t="shared" si="20"/>
        <v>-1.9351802916808243E-3</v>
      </c>
      <c r="AK152" s="40">
        <f t="shared" si="20"/>
        <v>-1.9595801434805242E-3</v>
      </c>
      <c r="AL152" s="40">
        <f t="shared" si="20"/>
        <v>-1.9827032516415255E-3</v>
      </c>
      <c r="AM152" s="40">
        <f t="shared" si="20"/>
        <v>-2.0045870966887988E-3</v>
      </c>
      <c r="AN152" s="40">
        <f t="shared" si="20"/>
        <v>-2.0252681896534134E-3</v>
      </c>
      <c r="AO152" s="40">
        <f t="shared" si="20"/>
        <v>-2.0447820961102293E-3</v>
      </c>
      <c r="AP152" s="40">
        <f t="shared" si="20"/>
        <v>-2.0631634596289966E-3</v>
      </c>
    </row>
    <row r="153" spans="1:42" ht="30" x14ac:dyDescent="0.25">
      <c r="A153" s="258" t="s">
        <v>558</v>
      </c>
      <c r="B153" s="40">
        <f>IF(Diskontering!B16&lt;=Diskontering!A5,($B$103*Diskontering!B26),0)</f>
        <v>0.31521962999014236</v>
      </c>
      <c r="C153" s="40">
        <f>IF([1]Diskontering!C16&lt;=[1]Diskontering!$A$5,($B$103*[1]Diskontering!C22),0)</f>
        <v>0.30821474932369475</v>
      </c>
      <c r="D153" s="40">
        <f>IF([1]Diskontering!D16&lt;=[1]Diskontering!$A$5,($B$103*[1]Diskontering!D22),0)</f>
        <v>0.30136553267205712</v>
      </c>
      <c r="E153" s="40">
        <f>IF([1]Diskontering!E16&lt;=[1]Diskontering!$A$5,($B$103*[1]Diskontering!E22),0)</f>
        <v>0.2946685208349003</v>
      </c>
      <c r="F153" s="40">
        <f>IF([1]Diskontering!F16&lt;=[1]Diskontering!$A$5,($B$103*[1]Diskontering!F22),0)</f>
        <v>0.28812033148301364</v>
      </c>
      <c r="G153" s="40">
        <f>IF([1]Diskontering!G16&lt;=[1]Diskontering!$A$5,($B$103*[1]Diskontering!G22),0)</f>
        <v>0.28171765745005783</v>
      </c>
      <c r="H153" s="40">
        <f>IF([1]Diskontering!H16&lt;=[1]Diskontering!$A$5,($B$103*[1]Diskontering!H22),0)</f>
        <v>0.27545726506227886</v>
      </c>
      <c r="I153" s="40">
        <f>IF([1]Diskontering!I16&lt;=[1]Diskontering!$A$5,($B$103*[1]Diskontering!I22),0)</f>
        <v>0.26933599250533935</v>
      </c>
      <c r="J153" s="40">
        <f>IF([1]Diskontering!J16&lt;=[1]Diskontering!$A$5,($B$103*[1]Diskontering!J22),0)</f>
        <v>0.26335074822744287</v>
      </c>
      <c r="K153" s="40">
        <f>IF([1]Diskontering!K16&lt;=[1]Diskontering!$A$5,($B$103*[1]Diskontering!K22),0)</f>
        <v>0.25444516736951006</v>
      </c>
      <c r="L153" s="40">
        <f>IF([1]Diskontering!L16&lt;=[1]Diskontering!$A$5,($B$103*[1]Diskontering!L22),0)</f>
        <v>0.24584074141981649</v>
      </c>
      <c r="M153" s="40">
        <f>IF([1]Diskontering!M16&lt;=[1]Diskontering!$A$5,($B$103*[1]Diskontering!M22),0)</f>
        <v>0.23752728639595805</v>
      </c>
      <c r="N153" s="40">
        <f>IF([1]Diskontering!N16&lt;=[1]Diskontering!$A$5,($B$103*[1]Diskontering!N22),0)</f>
        <v>0.22949496270140871</v>
      </c>
      <c r="O153" s="40">
        <f>IF([1]Diskontering!O16&lt;=[1]Diskontering!$A$5,($B$103*[1]Diskontering!O22),0)</f>
        <v>0.22173426347962197</v>
      </c>
      <c r="P153" s="40">
        <f>IF([1]Diskontering!P16&lt;=[1]Diskontering!$A$5,($B$103*[1]Diskontering!P22),0)</f>
        <v>0.21423600336195364</v>
      </c>
      <c r="Q153" s="40">
        <f>IF([1]Diskontering!Q16&lt;=[1]Diskontering!$A$5,($B$103*[1]Diskontering!Q22),0)</f>
        <v>0.20699130759609047</v>
      </c>
      <c r="R153" s="40">
        <f>IF([1]Diskontering!R16&lt;=[1]Diskontering!$A$5,($B$103*[1]Diskontering!R22),0)</f>
        <v>0.19999160154211643</v>
      </c>
      <c r="S153" s="40">
        <f>IF([1]Diskontering!S16&lt;=[1]Diskontering!$A$5,($B$103*[1]Diskontering!S22),0)</f>
        <v>0.19322860052378399</v>
      </c>
      <c r="T153" s="40">
        <f>IF([1]Diskontering!T16&lt;=[1]Diskontering!$A$5,($B$103*[1]Diskontering!T22),0)</f>
        <v>0.18669430002297971</v>
      </c>
      <c r="U153" s="40">
        <f>IF([1]Diskontering!U16&lt;=[1]Diskontering!$A$5,($B$103*[1]Diskontering!U22),0)</f>
        <v>0.18038096620577751</v>
      </c>
      <c r="V153" s="40">
        <f>IF([1]Diskontering!V16&lt;=[1]Diskontering!$A$5,($B$103*[1]Diskontering!V22),0)</f>
        <v>0.1742811267688672</v>
      </c>
      <c r="W153" s="40">
        <f>IF([1]Diskontering!W16&lt;=[1]Diskontering!$A$5,($B$103*[1]Diskontering!W22),0)</f>
        <v>0.16838756209552388</v>
      </c>
      <c r="X153" s="40">
        <f>IF([1]Diskontering!X16&lt;=[1]Diskontering!$A$5,($B$103*[1]Diskontering!X22),0)</f>
        <v>0.16269329671065111</v>
      </c>
      <c r="Y153" s="40">
        <f>IF([1]Diskontering!Y16&lt;=[1]Diskontering!$A$5,($B$103*[1]Diskontering!Y22),0)</f>
        <v>0.15719159102478367</v>
      </c>
      <c r="Z153" s="40">
        <f>IF([1]Diskontering!Z16&lt;=[1]Diskontering!$A$5,($B$103*[1]Diskontering!Z22),0)</f>
        <v>0.15187593335727892</v>
      </c>
      <c r="AA153" s="40">
        <f>IF([1]Diskontering!AA16&lt;=[1]Diskontering!$A$5,($B$103*[1]Diskontering!AA22),0)</f>
        <v>0.14674003222925502</v>
      </c>
      <c r="AB153" s="40">
        <f>IF([1]Diskontering!AB16&lt;=[1]Diskontering!$A$5,($B$103*[1]Diskontering!AB22),0)</f>
        <v>0.14177780891715461</v>
      </c>
      <c r="AC153" s="40">
        <f>IF([1]Diskontering!AC16&lt;=[1]Diskontering!$A$5,($B$103*[1]Diskontering!AC22),0)</f>
        <v>0.1369833902581204</v>
      </c>
      <c r="AD153" s="40">
        <f>IF([1]Diskontering!AD16&lt;=[1]Diskontering!$A$5,($B$103*[1]Diskontering!AD22),0)</f>
        <v>0.13235110169866704</v>
      </c>
      <c r="AE153" s="40">
        <f>IF([1]Diskontering!AE16&lt;=[1]Diskontering!$A$5,($B$103*[1]Diskontering!AE22),0)</f>
        <v>0.12787546057842228</v>
      </c>
      <c r="AF153" s="40">
        <f>IF([1]Diskontering!AF16&lt;=[1]Diskontering!$A$5,($B$103*[1]Diskontering!AF22),0)</f>
        <v>0.12355116964098772</v>
      </c>
      <c r="AG153" s="40">
        <f>IF([1]Diskontering!AG16&lt;=[1]Diskontering!$A$5,($B$103*[1]Diskontering!AG22),0)</f>
        <v>0.11937311076423936</v>
      </c>
      <c r="AH153" s="40">
        <f>IF([1]Diskontering!AH16&lt;=[1]Diskontering!$A$5,($B$103*[1]Diskontering!AH22),0)</f>
        <v>0.11533633890264673</v>
      </c>
      <c r="AI153" s="40">
        <f>IF([1]Diskontering!AI16&lt;=[1]Diskontering!$A$5,($B$103*[1]Diskontering!AI22),0)</f>
        <v>0.11143607623444128</v>
      </c>
      <c r="AJ153" s="40">
        <f>IF([1]Diskontering!AJ16&lt;=[1]Diskontering!$A$5,($B$103*[1]Diskontering!AJ22),0)</f>
        <v>0.10766770650670657</v>
      </c>
      <c r="AK153" s="40">
        <f>IF([1]Diskontering!AK16&lt;=[1]Diskontering!$A$5,($B$103*[1]Diskontering!AK22),0)</f>
        <v>0.10402676957169717</v>
      </c>
      <c r="AL153" s="40">
        <f>IF([1]Diskontering!AL16&lt;=[1]Diskontering!$A$5,($B$103*[1]Diskontering!AL22),0)</f>
        <v>0.10050895610792</v>
      </c>
      <c r="AM153" s="40">
        <f>IF([1]Diskontering!AM16&lt;=[1]Diskontering!$A$5,($B$103*[1]Diskontering!AM22),0)</f>
        <v>9.7110102519729471E-2</v>
      </c>
      <c r="AN153" s="40">
        <f>IF([1]Diskontering!AN16&lt;=[1]Diskontering!$A$5,($B$103*[1]Diskontering!AN22),0)</f>
        <v>9.3826186009400472E-2</v>
      </c>
      <c r="AO153" s="40">
        <f>IF([1]Diskontering!AO16&lt;=[1]Diskontering!$A$5,($B$103*[1]Diskontering!AO22),0)</f>
        <v>9.0653319815845859E-2</v>
      </c>
      <c r="AP153" s="40">
        <f>IF([1]Diskontering!AP16&lt;=[1]Diskontering!$A$5,($B$103*[1]Diskontering!AP22),0)</f>
        <v>0</v>
      </c>
    </row>
    <row r="154" spans="1:42" s="219" customFormat="1" ht="12.75" x14ac:dyDescent="0.2">
      <c r="A154" s="217" t="s">
        <v>524</v>
      </c>
      <c r="B154" s="217">
        <f>IF(Diskontering!B16&lt;=Diskontering!$A$5,(IF($B$63=0,($B$103*'Kalkylvärden 1'!$D$170*Diskontering!B35),($B$103*'Kalkylvärden 1'!$D$169*Diskontering!B35))),0)</f>
        <v>6.3399999999999998E-2</v>
      </c>
      <c r="C154" s="217">
        <f>IF(Diskontering!C16&lt;=Diskontering!$A$5,(IF($B$63=0,($B$103*'Kalkylvärden 1'!$D$170*Diskontering!C35),($B$103*'Kalkylvärden 1'!$D$169*Diskontering!C35))),0)</f>
        <v>6.2787439613526563E-2</v>
      </c>
      <c r="D154" s="217">
        <f>IF(Diskontering!D16&lt;=Diskontering!$A$5,(IF($B$63=0,($B$103*'Kalkylvärden 1'!$D$170*Diskontering!D35),($B$103*'Kalkylvärden 1'!$D$169*Diskontering!D35))),0)</f>
        <v>6.2180797684893457E-2</v>
      </c>
      <c r="E154" s="217">
        <f>IF(Diskontering!E16&lt;=Diskontering!$A$5,(IF($B$63=0,($B$103*'Kalkylvärden 1'!$D$170*Diskontering!E35),($B$103*'Kalkylvärden 1'!$D$169*Diskontering!E35))),0)</f>
        <v>6.1580017030933146E-2</v>
      </c>
      <c r="F154" s="217">
        <f>IF(Diskontering!F16&lt;=Diskontering!$A$5,(IF($B$63=0,($B$103*'Kalkylvärden 1'!$D$170*Diskontering!F35),($B$103*'Kalkylvärden 1'!$D$169*Diskontering!F35))),0)</f>
        <v>6.0985041020972429E-2</v>
      </c>
      <c r="G154" s="217">
        <f>IF(Diskontering!G16&lt;=Diskontering!$A$5,(IF($B$63=0,($B$103*'Kalkylvärden 1'!$D$170*Diskontering!G35),($B$103*'Kalkylvärden 1'!$D$169*Diskontering!G35))),0)</f>
        <v>6.0395813571494442E-2</v>
      </c>
      <c r="H154" s="217">
        <f>IF(Diskontering!H16&lt;=Diskontering!$A$5,(IF($B$63=0,($B$103*'Kalkylvärden 1'!$D$170*Diskontering!H35),($B$103*'Kalkylvärden 1'!$D$169*Diskontering!H35))),0)</f>
        <v>5.9812279140851986E-2</v>
      </c>
      <c r="I154" s="217">
        <f>IF(Diskontering!I16&lt;=Diskontering!$A$5,(IF($B$63=0,($B$103*'Kalkylvärden 1'!$D$170*Diskontering!I35),($B$103*'Kalkylvärden 1'!$D$169*Diskontering!I35))),0)</f>
        <v>5.9234382724032163E-2</v>
      </c>
      <c r="J154" s="217">
        <f>IF(Diskontering!J16&lt;=Diskontering!$A$5,(IF($B$63=0,($B$103*'Kalkylvärden 1'!$D$170*Diskontering!J35),($B$103*'Kalkylvärden 1'!$D$169*Diskontering!J35))),0)</f>
        <v>5.8662069847471458E-2</v>
      </c>
      <c r="K154" s="217">
        <f>IF(Diskontering!K16&lt;=Diskontering!$A$5,(IF($B$63=0,($B$103*'Kalkylvärden 1'!$D$170*Diskontering!K35),($B$103*'Kalkylvärden 1'!$D$169*Diskontering!K35))),0)</f>
        <v>5.809528656392101E-2</v>
      </c>
      <c r="L154" s="217">
        <f>IF(Diskontering!L16&lt;=Diskontering!$A$5,(IF($B$63=0,($B$103*'Kalkylvärden 1'!$D$170*Diskontering!L35),($B$103*'Kalkylvärden 1'!$D$169*Diskontering!L35))),0)</f>
        <v>5.7533979447361383E-2</v>
      </c>
      <c r="M154" s="217">
        <f>IF(Diskontering!M16&lt;=Diskontering!$A$5,(IF($B$63=0,($B$103*'Kalkylvärden 1'!$D$170*Diskontering!M35),($B$103*'Kalkylvärden 1'!$D$169*Diskontering!M35))),0)</f>
        <v>5.6978095587966592E-2</v>
      </c>
      <c r="N154" s="217">
        <f>IF(Diskontering!N16&lt;=Diskontering!$A$5,(IF($B$63=0,($B$103*'Kalkylvärden 1'!$D$170*Diskontering!N35),($B$103*'Kalkylvärden 1'!$D$169*Diskontering!N35))),0)</f>
        <v>5.6427582587116665E-2</v>
      </c>
      <c r="O154" s="217">
        <f>IF(Diskontering!O16&lt;=Diskontering!$A$5,(IF($B$63=0,($B$103*'Kalkylvärden 1'!$D$170*Diskontering!O35),($B$103*'Kalkylvärden 1'!$D$169*Diskontering!O35))),0)</f>
        <v>5.5882388552458542E-2</v>
      </c>
      <c r="P154" s="217">
        <f>IF(Diskontering!P16&lt;=Diskontering!$A$5,(IF($B$63=0,($B$103*'Kalkylvärden 1'!$D$170*Diskontering!P35),($B$103*'Kalkylvärden 1'!$D$169*Diskontering!P35))),0)</f>
        <v>5.5342462093014501E-2</v>
      </c>
      <c r="Q154" s="217">
        <f>IF(Diskontering!Q16&lt;=Diskontering!$A$5,(IF($B$63=0,($B$103*'Kalkylvärden 1'!$D$170*Diskontering!Q35),($B$103*'Kalkylvärden 1'!$D$169*Diskontering!Q35))),0)</f>
        <v>5.4807752314338029E-2</v>
      </c>
      <c r="R154" s="217">
        <f>IF(Diskontering!R16&lt;=Diskontering!$A$5,(IF($B$63=0,($B$103*'Kalkylvärden 1'!$D$170*Diskontering!R35),($B$103*'Kalkylvärden 1'!$D$169*Diskontering!R35))),0)</f>
        <v>5.4278208813716408E-2</v>
      </c>
      <c r="S154" s="217">
        <f>IF(Diskontering!S16&lt;=Diskontering!$A$5,(IF($B$63=0,($B$103*'Kalkylvärden 1'!$D$170*Diskontering!S35),($B$103*'Kalkylvärden 1'!$D$169*Diskontering!S35))),0)</f>
        <v>5.3753781675419617E-2</v>
      </c>
      <c r="T154" s="217">
        <f>IF(Diskontering!T16&lt;=Diskontering!$A$5,(IF($B$63=0,($B$103*'Kalkylvärden 1'!$D$170*Diskontering!T35),($B$103*'Kalkylvärden 1'!$D$169*Diskontering!T35))),0)</f>
        <v>5.3234421465995288E-2</v>
      </c>
      <c r="U154" s="217">
        <f>IF(Diskontering!U16&lt;=Diskontering!$A$5,(IF($B$63=0,($B$103*'Kalkylvärden 1'!$D$170*Diskontering!U35),($B$103*'Kalkylvärden 1'!$D$169*Diskontering!U35))),0)</f>
        <v>5.2720079229608849E-2</v>
      </c>
      <c r="V154" s="217">
        <f>IF(Diskontering!V16&lt;=Diskontering!$A$5,(IF($B$63=0,($B$103*'Kalkylvärden 1'!$D$170*Diskontering!V35),($B$103*'Kalkylvärden 1'!$D$169*Diskontering!V35))),0)</f>
        <v>5.2210706483429056E-2</v>
      </c>
      <c r="W154" s="217">
        <f>IF(Diskontering!W16&lt;=Diskontering!$A$5,(IF($B$63=0,($B$103*'Kalkylvärden 1'!$D$170*Diskontering!W35),($B$103*'Kalkylvärden 1'!$D$169*Diskontering!W35))),0)</f>
        <v>5.1706255213057759E-2</v>
      </c>
      <c r="X154" s="217">
        <f>IF(Diskontering!X16&lt;=Diskontering!$A$5,(IF($B$63=0,($B$103*'Kalkylvärden 1'!$D$170*Diskontering!X35),($B$103*'Kalkylvärden 1'!$D$169*Diskontering!X35))),0)</f>
        <v>5.1206677868004057E-2</v>
      </c>
      <c r="Y154" s="217">
        <f>IF(Diskontering!Y16&lt;=Diskontering!$A$5,(IF($B$63=0,($B$103*'Kalkylvärden 1'!$D$170*Diskontering!Y35),($B$103*'Kalkylvärden 1'!$D$169*Diskontering!Y35))),0)</f>
        <v>5.0711927357202091E-2</v>
      </c>
      <c r="Z154" s="217">
        <f>IF(Diskontering!Z16&lt;=Diskontering!$A$5,(IF($B$63=0,($B$103*'Kalkylvärden 1'!$D$170*Diskontering!Z35),($B$103*'Kalkylvärden 1'!$D$169*Diskontering!Z35))),0)</f>
        <v>5.0221957044572114E-2</v>
      </c>
      <c r="AA154" s="217">
        <f>IF(Diskontering!AA16&lt;=Diskontering!$A$5,(IF($B$63=0,($B$103*'Kalkylvärden 1'!$D$170*Diskontering!AA35),($B$103*'Kalkylvärden 1'!$D$169*Diskontering!AA35))),0)</f>
        <v>4.9736720744624555E-2</v>
      </c>
      <c r="AB154" s="217">
        <f>IF(Diskontering!AB16&lt;=Diskontering!$A$5,(IF($B$63=0,($B$103*'Kalkylvärden 1'!$D$170*Diskontering!AB35),($B$103*'Kalkylvärden 1'!$D$169*Diskontering!AB35))),0)</f>
        <v>4.9256172718106443E-2</v>
      </c>
      <c r="AC154" s="217">
        <f>IF(Diskontering!AC16&lt;=Diskontering!$A$5,(IF($B$63=0,($B$103*'Kalkylvärden 1'!$D$170*Diskontering!AC35),($B$103*'Kalkylvärden 1'!$D$169*Diskontering!AC35))),0)</f>
        <v>4.8780267667689954E-2</v>
      </c>
      <c r="AD154" s="217">
        <f>IF(Diskontering!AD16&lt;=Diskontering!$A$5,(IF($B$63=0,($B$103*'Kalkylvärden 1'!$D$170*Diskontering!AD35),($B$103*'Kalkylvärden 1'!$D$169*Diskontering!AD35))),0)</f>
        <v>4.8308960733702611E-2</v>
      </c>
      <c r="AE154" s="217">
        <f>IF(Diskontering!AE16&lt;=Diskontering!$A$5,(IF($B$63=0,($B$103*'Kalkylvärden 1'!$D$170*Diskontering!AE35),($B$103*'Kalkylvärden 1'!$D$169*Diskontering!AE35))),0)</f>
        <v>4.7842207489898717E-2</v>
      </c>
      <c r="AF154" s="217">
        <f>IF(Diskontering!AF16&lt;=Diskontering!$A$5,(IF($B$63=0,($B$103*'Kalkylvärden 1'!$D$170*Diskontering!AF35),($B$103*'Kalkylvärden 1'!$D$169*Diskontering!AF35))),0)</f>
        <v>4.7379963939271678E-2</v>
      </c>
      <c r="AG154" s="217">
        <f>IF(Diskontering!AG16&lt;=Diskontering!$A$5,(IF($B$63=0,($B$103*'Kalkylvärden 1'!$D$170*Diskontering!AG35),($B$103*'Kalkylvärden 1'!$D$169*Diskontering!AG35))),0)</f>
        <v>4.692218650990674E-2</v>
      </c>
      <c r="AH154" s="217">
        <f>IF(Diskontering!AH16&lt;=Diskontering!$A$5,(IF($B$63=0,($B$103*'Kalkylvärden 1'!$D$170*Diskontering!AH35),($B$103*'Kalkylvärden 1'!$D$169*Diskontering!AH35))),0)</f>
        <v>4.6468832050873821E-2</v>
      </c>
      <c r="AI154" s="217">
        <f>IF(Diskontering!AI16&lt;=Diskontering!$A$5,(IF($B$63=0,($B$103*'Kalkylvärden 1'!$D$170*Diskontering!AI35),($B$103*'Kalkylvärden 1'!$D$169*Diskontering!AI35))),0)</f>
        <v>4.6019857828160059E-2</v>
      </c>
      <c r="AJ154" s="217">
        <f>IF(Diskontering!AJ16&lt;=Diskontering!$A$5,(IF($B$63=0,($B$103*'Kalkylvärden 1'!$D$170*Diskontering!AJ35),($B$103*'Kalkylvärden 1'!$D$169*Diskontering!AJ35))),0)</f>
        <v>4.5575221520641598E-2</v>
      </c>
      <c r="AK154" s="217">
        <f>IF(Diskontering!AK16&lt;=Diskontering!$A$5,(IF($B$63=0,($B$103*'Kalkylvärden 1'!$D$170*Diskontering!AK35),($B$103*'Kalkylvärden 1'!$D$169*Diskontering!AK35))),0)</f>
        <v>4.5134881216094339E-2</v>
      </c>
      <c r="AL154" s="217">
        <f>IF(Diskontering!AL16&lt;=Diskontering!$A$5,(IF($B$63=0,($B$103*'Kalkylvärden 1'!$D$170*Diskontering!AL35),($B$103*'Kalkylvärden 1'!$D$169*Diskontering!AL35))),0)</f>
        <v>4.469879540724319E-2</v>
      </c>
      <c r="AM154" s="217">
        <f>IF(Diskontering!AM16&lt;=Diskontering!$A$5,(IF($B$63=0,($B$103*'Kalkylvärden 1'!$D$170*Diskontering!AM35),($B$103*'Kalkylvärden 1'!$D$169*Diskontering!AM35))),0)</f>
        <v>4.4266922987849532E-2</v>
      </c>
      <c r="AN154" s="217">
        <f>IF(Diskontering!AN16&lt;=Diskontering!$A$5,(IF($B$63=0,($B$103*'Kalkylvärden 1'!$D$170*Diskontering!AN35),($B$103*'Kalkylvärden 1'!$D$169*Diskontering!AN35))),0)</f>
        <v>4.3839223248836497E-2</v>
      </c>
      <c r="AO154" s="217">
        <f>IF(Diskontering!AO16&lt;=Diskontering!$A$5,(IF($B$63=0,($B$103*'Kalkylvärden 1'!$D$170*Diskontering!AO35),($B$103*'Kalkylvärden 1'!$D$169*Diskontering!AO35))),0)</f>
        <v>4.3415655874451606E-2</v>
      </c>
      <c r="AP154" s="217">
        <f>IF(Diskontering!AP16&lt;=Diskontering!$A$5,(IF($B$63=0,($B$103*'Kalkylvärden 1'!$D$170*Diskontering!AP35),($B$103*'Kalkylvärden 1'!$D$169*Diskontering!AP35))),0)</f>
        <v>4.2996180938466563E-2</v>
      </c>
    </row>
    <row r="155" spans="1:42" s="219" customFormat="1" ht="12.75" x14ac:dyDescent="0.2">
      <c r="A155" s="217" t="s">
        <v>525</v>
      </c>
      <c r="B155" s="217">
        <f>IF(Diskontering!B16&lt;=Diskontering!$A$5,(IF($B$63=0,($B$103*'Kalkylvärden 1'!$D$170*Diskontering!B26),($B$103*'Kalkylvärden 1'!$D$169*Diskontering!B26))),0)</f>
        <v>6.3399999999999998E-2</v>
      </c>
      <c r="C155" s="217">
        <f>IF(Diskontering!C16&lt;=Diskontering!$A$5,(IF($B$63=0,($B$103*'Kalkylvärden 1'!$D$170*Diskontering!C26),($B$103*'Kalkylvärden 1'!$D$169*Diskontering!C26))),0)</f>
        <v>6.1868599033816432E-2</v>
      </c>
      <c r="D155" s="217">
        <f>IF(Diskontering!D16&lt;=Diskontering!$A$5,(IF($B$63=0,($B$103*'Kalkylvärden 1'!$D$170*Diskontering!D26),($B$103*'Kalkylvärden 1'!$D$169*Diskontering!D26))),0)</f>
        <v>6.0374188429134869E-2</v>
      </c>
      <c r="E155" s="217">
        <f>IF(Diskontering!E16&lt;=Diskontering!$A$5,(IF($B$63=0,($B$103*'Kalkylvärden 1'!$D$170*Diskontering!E26),($B$103*'Kalkylvärden 1'!$D$169*Diskontering!E26))),0)</f>
        <v>5.8915874698962534E-2</v>
      </c>
      <c r="F155" s="217">
        <f>IF(Diskontering!F16&lt;=Diskontering!$A$5,(IF($B$63=0,($B$103*'Kalkylvärden 1'!$D$170*Diskontering!F26),($B$103*'Kalkylvärden 1'!$D$169*Diskontering!F26))),0)</f>
        <v>5.7492785938118039E-2</v>
      </c>
      <c r="G155" s="217">
        <f>IF(Diskontering!G16&lt;=Diskontering!$A$5,(IF($B$63=0,($B$103*'Kalkylvärden 1'!$D$170*Diskontering!G26),($B$103*'Kalkylvärden 1'!$D$169*Diskontering!G26))),0)</f>
        <v>5.6104071301931624E-2</v>
      </c>
      <c r="H155" s="217">
        <f>IF(Diskontering!H16&lt;=Diskontering!$A$5,(IF($B$63=0,($B$103*'Kalkylvärden 1'!$D$170*Diskontering!H26),($B$103*'Kalkylvärden 1'!$D$169*Diskontering!H26))),0)</f>
        <v>5.474890049753714E-2</v>
      </c>
      <c r="I155" s="217">
        <f>IF(Diskontering!I16&lt;=Diskontering!$A$5,(IF($B$63=0,($B$103*'Kalkylvärden 1'!$D$170*Diskontering!I26),($B$103*'Kalkylvärden 1'!$D$169*Diskontering!I26))),0)</f>
        <v>5.3426463287451702E-2</v>
      </c>
      <c r="J155" s="217">
        <f>IF(Diskontering!J16&lt;=Diskontering!$A$5,(IF($B$63=0,($B$103*'Kalkylvärden 1'!$D$170*Diskontering!J26),($B$103*'Kalkylvärden 1'!$D$169*Diskontering!J26))),0)</f>
        <v>5.213596900514611E-2</v>
      </c>
      <c r="K155" s="217">
        <f>IF(Diskontering!K16&lt;=Diskontering!$A$5,(IF($B$63=0,($B$103*'Kalkylvärden 1'!$D$170*Diskontering!K26),($B$103*'Kalkylvärden 1'!$D$169*Diskontering!K26))),0)</f>
        <v>5.0876646082316498E-2</v>
      </c>
      <c r="L155" s="217">
        <f>IF(Diskontering!L16&lt;=Diskontering!$A$5,(IF($B$63=0,($B$103*'Kalkylvärden 1'!$D$170*Diskontering!L26),($B$103*'Kalkylvärden 1'!$D$169*Diskontering!L26))),0)</f>
        <v>4.9647741587574561E-2</v>
      </c>
      <c r="M155" s="217">
        <f>IF(Diskontering!M16&lt;=Diskontering!$A$5,(IF($B$63=0,($B$103*'Kalkylvärden 1'!$D$170*Diskontering!M26),($B$103*'Kalkylvärden 1'!$D$169*Diskontering!M26))),0)</f>
        <v>4.84485207762805E-2</v>
      </c>
      <c r="N155" s="217">
        <f>IF(Diskontering!N16&lt;=Diskontering!$A$5,(IF($B$63=0,($B$103*'Kalkylvärden 1'!$D$170*Diskontering!N26),($B$103*'Kalkylvärden 1'!$D$169*Diskontering!N26))),0)</f>
        <v>4.7278266651249574E-2</v>
      </c>
      <c r="O155" s="217">
        <f>IF(Diskontering!O16&lt;=Diskontering!$A$5,(IF($B$63=0,($B$103*'Kalkylvärden 1'!$D$170*Diskontering!O26),($B$103*'Kalkylvärden 1'!$D$169*Diskontering!O26))),0)</f>
        <v>4.6136279534069638E-2</v>
      </c>
      <c r="P155" s="217">
        <f>IF(Diskontering!P16&lt;=Diskontering!$A$5,(IF($B$63=0,($B$103*'Kalkylvärden 1'!$D$170*Diskontering!P26),($B$103*'Kalkylvärden 1'!$D$169*Diskontering!P26))),0)</f>
        <v>4.5021876646773276E-2</v>
      </c>
      <c r="Q155" s="217">
        <f>IF(Diskontering!Q16&lt;=Diskontering!$A$5,(IF($B$63=0,($B$103*'Kalkylvärden 1'!$D$170*Diskontering!Q26),($B$103*'Kalkylvärden 1'!$D$169*Diskontering!Q26))),0)</f>
        <v>4.393439170361451E-2</v>
      </c>
      <c r="R155" s="217">
        <f>IF(Diskontering!R16&lt;=Diskontering!$A$5,(IF($B$63=0,($B$103*'Kalkylvärden 1'!$D$170*Diskontering!R26),($B$103*'Kalkylvärden 1'!$D$169*Diskontering!R26))),0)</f>
        <v>4.2873174512705947E-2</v>
      </c>
      <c r="S155" s="217">
        <f>IF(Diskontering!S16&lt;=Diskontering!$A$5,(IF($B$63=0,($B$103*'Kalkylvärden 1'!$D$170*Diskontering!S26),($B$103*'Kalkylvärden 1'!$D$169*Diskontering!S26))),0)</f>
        <v>4.1837590587278262E-2</v>
      </c>
      <c r="T155" s="217">
        <f>IF(Diskontering!T16&lt;=Diskontering!$A$5,(IF($B$63=0,($B$103*'Kalkylvärden 1'!$D$170*Diskontering!T26),($B$103*'Kalkylvärden 1'!$D$169*Diskontering!T26))),0)</f>
        <v>4.0827020766329526E-2</v>
      </c>
      <c r="U155" s="217">
        <f>IF(Diskontering!U16&lt;=Diskontering!$A$5,(IF($B$63=0,($B$103*'Kalkylvärden 1'!$D$170*Diskontering!U26),($B$103*'Kalkylvärden 1'!$D$169*Diskontering!U26))),0)</f>
        <v>3.9840860844437505E-2</v>
      </c>
      <c r="V155" s="217">
        <f>IF(Diskontering!V16&lt;=Diskontering!$A$5,(IF($B$63=0,($B$103*'Kalkylvärden 1'!$D$170*Diskontering!V26),($B$103*'Kalkylvärden 1'!$D$169*Diskontering!V26))),0)</f>
        <v>3.8878521210513904E-2</v>
      </c>
      <c r="W155" s="217">
        <f>IF(Diskontering!W16&lt;=Diskontering!$A$5,(IF($B$63=0,($B$103*'Kalkylvärden 1'!$D$170*Diskontering!W26),($B$103*'Kalkylvärden 1'!$D$169*Diskontering!W26))),0)</f>
        <v>3.7939426495284104E-2</v>
      </c>
      <c r="X155" s="217">
        <f>IF(Diskontering!X16&lt;=Diskontering!$A$5,(IF($B$63=0,($B$103*'Kalkylvärden 1'!$D$170*Diskontering!X26),($B$103*'Kalkylvärden 1'!$D$169*Diskontering!X26))),0)</f>
        <v>3.7023015227282081E-2</v>
      </c>
      <c r="Y155" s="217">
        <f>IF(Diskontering!Y16&lt;=Diskontering!$A$5,(IF($B$63=0,($B$103*'Kalkylvärden 1'!$D$170*Diskontering!Y26),($B$103*'Kalkylvärden 1'!$D$169*Diskontering!Y26))),0)</f>
        <v>3.6128739497154498E-2</v>
      </c>
      <c r="Z155" s="217">
        <f>IF(Diskontering!Z16&lt;=Diskontering!$A$5,(IF($B$63=0,($B$103*'Kalkylvärden 1'!$D$170*Diskontering!Z26),($B$103*'Kalkylvärden 1'!$D$169*Diskontering!Z26))),0)</f>
        <v>3.5256064630073476E-2</v>
      </c>
      <c r="AA155" s="217">
        <f>IF(Diskontering!AA16&lt;=Diskontering!$A$5,(IF($B$63=0,($B$103*'Kalkylvärden 1'!$D$170*Diskontering!AA26),($B$103*'Kalkylvärden 1'!$D$169*Diskontering!AA26))),0)</f>
        <v>3.4404468866062035E-2</v>
      </c>
      <c r="AB155" s="217">
        <f>IF(Diskontering!AB16&lt;=Diskontering!$A$5,(IF($B$63=0,($B$103*'Kalkylvärden 1'!$D$170*Diskontering!AB26),($B$103*'Kalkylvärden 1'!$D$169*Diskontering!AB26))),0)</f>
        <v>3.3573443048041218E-2</v>
      </c>
      <c r="AC155" s="217">
        <f>IF(Diskontering!AC16&lt;=Diskontering!$A$5,(IF($B$63=0,($B$103*'Kalkylvärden 1'!$D$170*Diskontering!AC26),($B$103*'Kalkylvärden 1'!$D$169*Diskontering!AC26))),0)</f>
        <v>3.2762490317412199E-2</v>
      </c>
      <c r="AD155" s="217">
        <f>IF(Diskontering!AD16&lt;=Diskontering!$A$5,(IF($B$63=0,($B$103*'Kalkylvärden 1'!$D$170*Diskontering!AD26),($B$103*'Kalkylvärden 1'!$D$169*Diskontering!AD26))),0)</f>
        <v>3.1971125816991623E-2</v>
      </c>
      <c r="AE155" s="217">
        <f>IF(Diskontering!AE16&lt;=Diskontering!$A$5,(IF($B$63=0,($B$103*'Kalkylvärden 1'!$D$170*Diskontering!AE26),($B$103*'Kalkylvärden 1'!$D$169*Diskontering!AE26))),0)</f>
        <v>3.1198876401122264E-2</v>
      </c>
      <c r="AF155" s="217">
        <f>IF(Diskontering!AF16&lt;=Diskontering!$A$5,(IF($B$63=0,($B$103*'Kalkylvärden 1'!$D$170*Diskontering!AF26),($B$103*'Kalkylvärden 1'!$D$169*Diskontering!AF26))),0)</f>
        <v>3.0445280352785983E-2</v>
      </c>
      <c r="AG155" s="217">
        <f>IF(Diskontering!AG16&lt;=Diskontering!$A$5,(IF($B$63=0,($B$103*'Kalkylvärden 1'!$D$170*Diskontering!AG26),($B$103*'Kalkylvärden 1'!$D$169*Diskontering!AG26))),0)</f>
        <v>2.9709887107549605E-2</v>
      </c>
      <c r="AH155" s="217">
        <f>IF(Diskontering!AH16&lt;=Diskontering!$A$5,(IF($B$63=0,($B$103*'Kalkylvärden 1'!$D$170*Diskontering!AH26),($B$103*'Kalkylvärden 1'!$D$169*Diskontering!AH26))),0)</f>
        <v>2.8992256984178847E-2</v>
      </c>
      <c r="AI155" s="217">
        <f>IF(Diskontering!AI16&lt;=Diskontering!$A$5,(IF($B$63=0,($B$103*'Kalkylvärden 1'!$D$170*Diskontering!AI26),($B$103*'Kalkylvärden 1'!$D$169*Diskontering!AI26))),0)</f>
        <v>2.829196092175907E-2</v>
      </c>
      <c r="AJ155" s="217">
        <f>IF(Diskontering!AJ16&lt;=Diskontering!$A$5,(IF($B$63=0,($B$103*'Kalkylvärden 1'!$D$170*Diskontering!AJ26),($B$103*'Kalkylvärden 1'!$D$169*Diskontering!AJ26))),0)</f>
        <v>2.7608580223165861E-2</v>
      </c>
      <c r="AK155" s="217">
        <f>IF(Diskontering!AK16&lt;=Diskontering!$A$5,(IF($B$63=0,($B$103*'Kalkylvärden 1'!$D$170*Diskontering!AK26),($B$103*'Kalkylvärden 1'!$D$169*Diskontering!AK26))),0)</f>
        <v>2.6941706304731902E-2</v>
      </c>
      <c r="AL155" s="217">
        <f>IF(Diskontering!AL16&lt;=Diskontering!$A$5,(IF($B$63=0,($B$103*'Kalkylvärden 1'!$D$170*Diskontering!AL26),($B$103*'Kalkylvärden 1'!$D$169*Diskontering!AL26))),0)</f>
        <v>2.6290940451960603E-2</v>
      </c>
      <c r="AM155" s="217">
        <f>IF(Diskontering!AM16&lt;=Diskontering!$A$5,(IF($B$63=0,($B$103*'Kalkylvärden 1'!$D$170*Diskontering!AM26),($B$103*'Kalkylvärden 1'!$D$169*Diskontering!AM26))),0)</f>
        <v>2.5655893581140298E-2</v>
      </c>
      <c r="AN155" s="217">
        <f>IF(Diskontering!AN16&lt;=Diskontering!$A$5,(IF($B$63=0,($B$103*'Kalkylvärden 1'!$D$170*Diskontering!AN26),($B$103*'Kalkylvärden 1'!$D$169*Diskontering!AN26))),0)</f>
        <v>2.5036186006716626E-2</v>
      </c>
      <c r="AO155" s="217">
        <f>IF(Diskontering!AO16&lt;=Diskontering!$A$5,(IF($B$63=0,($B$103*'Kalkylvärden 1'!$D$170*Diskontering!AO26),($B$103*'Kalkylvärden 1'!$D$169*Diskontering!AO26))),0)</f>
        <v>2.443144721428386E-2</v>
      </c>
      <c r="AP155" s="217">
        <f>IF(Diskontering!AP16&lt;=Diskontering!$A$5,(IF($B$63=0,($B$103*'Kalkylvärden 1'!$D$170*Diskontering!AP26),($B$103*'Kalkylvärden 1'!$D$169*Diskontering!AP26))),0)</f>
        <v>2.3841315639059613E-2</v>
      </c>
    </row>
    <row r="156" spans="1:42" s="117" customFormat="1" x14ac:dyDescent="0.25">
      <c r="A156" s="220" t="s">
        <v>526</v>
      </c>
      <c r="B156" s="221">
        <f>B154-B155</f>
        <v>0</v>
      </c>
      <c r="C156" s="221">
        <f t="shared" ref="C156:AP156" si="21">C154-C155</f>
        <v>9.1884057971013122E-4</v>
      </c>
      <c r="D156" s="221">
        <f t="shared" si="21"/>
        <v>1.8066092557585886E-3</v>
      </c>
      <c r="E156" s="221">
        <f t="shared" si="21"/>
        <v>2.664142331970612E-3</v>
      </c>
      <c r="F156" s="221">
        <f t="shared" si="21"/>
        <v>3.4922550828543897E-3</v>
      </c>
      <c r="G156" s="221">
        <f t="shared" si="21"/>
        <v>4.2917422695628177E-3</v>
      </c>
      <c r="H156" s="221">
        <f t="shared" si="21"/>
        <v>5.0633786433148462E-3</v>
      </c>
      <c r="I156" s="221">
        <f t="shared" si="21"/>
        <v>5.8079194365804609E-3</v>
      </c>
      <c r="J156" s="221">
        <f t="shared" si="21"/>
        <v>6.5261008423253483E-3</v>
      </c>
      <c r="K156" s="221">
        <f t="shared" si="21"/>
        <v>7.2186404816045116E-3</v>
      </c>
      <c r="L156" s="221">
        <f t="shared" si="21"/>
        <v>7.8862378597868224E-3</v>
      </c>
      <c r="M156" s="221">
        <f t="shared" si="21"/>
        <v>8.5295748116860914E-3</v>
      </c>
      <c r="N156" s="221">
        <f t="shared" si="21"/>
        <v>9.1493159358670903E-3</v>
      </c>
      <c r="O156" s="221">
        <f t="shared" si="21"/>
        <v>9.7461090183889043E-3</v>
      </c>
      <c r="P156" s="221">
        <f t="shared" si="21"/>
        <v>1.0320585446241225E-2</v>
      </c>
      <c r="Q156" s="221">
        <f t="shared" si="21"/>
        <v>1.0873360610723519E-2</v>
      </c>
      <c r="R156" s="221">
        <f t="shared" si="21"/>
        <v>1.1405034301010461E-2</v>
      </c>
      <c r="S156" s="221">
        <f t="shared" si="21"/>
        <v>1.1916191088141355E-2</v>
      </c>
      <c r="T156" s="221">
        <f t="shared" si="21"/>
        <v>1.2407400699665762E-2</v>
      </c>
      <c r="U156" s="221">
        <f t="shared" si="21"/>
        <v>1.2879218385171344E-2</v>
      </c>
      <c r="V156" s="221">
        <f t="shared" si="21"/>
        <v>1.3332185272915152E-2</v>
      </c>
      <c r="W156" s="221">
        <f t="shared" si="21"/>
        <v>1.3766828717773655E-2</v>
      </c>
      <c r="X156" s="221">
        <f t="shared" si="21"/>
        <v>1.4183662640721975E-2</v>
      </c>
      <c r="Y156" s="221">
        <f t="shared" si="21"/>
        <v>1.4583187860047593E-2</v>
      </c>
      <c r="Z156" s="221">
        <f t="shared" si="21"/>
        <v>1.4965892414498638E-2</v>
      </c>
      <c r="AA156" s="221">
        <f t="shared" si="21"/>
        <v>1.5332251878562519E-2</v>
      </c>
      <c r="AB156" s="221">
        <f t="shared" si="21"/>
        <v>1.5682729670065225E-2</v>
      </c>
      <c r="AC156" s="221">
        <f t="shared" si="21"/>
        <v>1.6017777350277755E-2</v>
      </c>
      <c r="AD156" s="221">
        <f t="shared" si="21"/>
        <v>1.6337834916710987E-2</v>
      </c>
      <c r="AE156" s="221">
        <f t="shared" si="21"/>
        <v>1.6643331088776452E-2</v>
      </c>
      <c r="AF156" s="221">
        <f t="shared" si="21"/>
        <v>1.6934683586485696E-2</v>
      </c>
      <c r="AG156" s="221">
        <f t="shared" si="21"/>
        <v>1.7212299402357134E-2</v>
      </c>
      <c r="AH156" s="221">
        <f t="shared" si="21"/>
        <v>1.7476575066694974E-2</v>
      </c>
      <c r="AI156" s="221">
        <f t="shared" si="21"/>
        <v>1.7727896906400989E-2</v>
      </c>
      <c r="AJ156" s="221">
        <f t="shared" si="21"/>
        <v>1.7966641297475737E-2</v>
      </c>
      <c r="AK156" s="221">
        <f t="shared" si="21"/>
        <v>1.8193174911362436E-2</v>
      </c>
      <c r="AL156" s="221">
        <f t="shared" si="21"/>
        <v>1.8407854955282587E-2</v>
      </c>
      <c r="AM156" s="221">
        <f t="shared" si="21"/>
        <v>1.8611029406709233E-2</v>
      </c>
      <c r="AN156" s="221">
        <f t="shared" si="21"/>
        <v>1.8803037242119871E-2</v>
      </c>
      <c r="AO156" s="221">
        <f t="shared" si="21"/>
        <v>1.8984208660167746E-2</v>
      </c>
      <c r="AP156" s="221">
        <f t="shared" si="21"/>
        <v>1.9154865299406951E-2</v>
      </c>
    </row>
    <row r="157" spans="1:42" s="117" customFormat="1" x14ac:dyDescent="0.25">
      <c r="A157" s="220" t="s">
        <v>66</v>
      </c>
      <c r="B157" s="221">
        <f>B143+B144+B147+B149+B152+B153+B156</f>
        <v>0.22603499629354901</v>
      </c>
      <c r="C157" s="221">
        <f t="shared" ref="C157:AP157" si="22">C143+C144+C147+C149+C152+C153+C156</f>
        <v>0.2210823796978299</v>
      </c>
      <c r="D157" s="221">
        <f t="shared" si="22"/>
        <v>0.21623856616628012</v>
      </c>
      <c r="E157" s="221">
        <f t="shared" si="22"/>
        <v>0.21150116386953322</v>
      </c>
      <c r="F157" s="221">
        <f t="shared" si="22"/>
        <v>0.20686783354310956</v>
      </c>
      <c r="G157" s="221">
        <f t="shared" si="22"/>
        <v>0.20233628733308212</v>
      </c>
      <c r="H157" s="221">
        <f t="shared" si="22"/>
        <v>0.19790428766706525</v>
      </c>
      <c r="I157" s="221">
        <f t="shared" si="22"/>
        <v>0.19356964614997171</v>
      </c>
      <c r="J157" s="221">
        <f t="shared" si="22"/>
        <v>0.18933022248399523</v>
      </c>
      <c r="K157" s="221">
        <f t="shared" si="22"/>
        <v>0.18281924153720244</v>
      </c>
      <c r="L157" s="221">
        <f t="shared" si="22"/>
        <v>0.17653185150931847</v>
      </c>
      <c r="M157" s="221">
        <f t="shared" si="22"/>
        <v>0.17046040126916051</v>
      </c>
      <c r="N157" s="221">
        <f t="shared" si="22"/>
        <v>0.16459750066934797</v>
      </c>
      <c r="O157" s="221">
        <f t="shared" si="22"/>
        <v>0.1589360116657042</v>
      </c>
      <c r="P157" s="221">
        <f t="shared" si="22"/>
        <v>0.1534690397383042</v>
      </c>
      <c r="Q157" s="221">
        <f t="shared" si="22"/>
        <v>0.14818992560393696</v>
      </c>
      <c r="R157" s="221">
        <f t="shared" si="22"/>
        <v>0.14309223721009579</v>
      </c>
      <c r="S157" s="221">
        <f t="shared" si="22"/>
        <v>0.13816976200094438</v>
      </c>
      <c r="T157" s="221">
        <f t="shared" si="22"/>
        <v>0.13341649944603345</v>
      </c>
      <c r="U157" s="221">
        <f t="shared" si="22"/>
        <v>0.12882665382285149</v>
      </c>
      <c r="V157" s="221">
        <f t="shared" si="22"/>
        <v>0.12439462724459791</v>
      </c>
      <c r="W157" s="221">
        <f t="shared" si="22"/>
        <v>0.12011501292485829</v>
      </c>
      <c r="X157" s="221">
        <f t="shared" si="22"/>
        <v>0.11598258867114318</v>
      </c>
      <c r="Y157" s="221">
        <f t="shared" si="22"/>
        <v>0.11199231059952411</v>
      </c>
      <c r="Z157" s="221">
        <f t="shared" si="22"/>
        <v>0.10813930706286465</v>
      </c>
      <c r="AA157" s="221">
        <f t="shared" si="22"/>
        <v>0.10441887278539787</v>
      </c>
      <c r="AB157" s="221">
        <f t="shared" si="22"/>
        <v>0.10082646319664754</v>
      </c>
      <c r="AC157" s="221">
        <f t="shared" si="22"/>
        <v>9.7357688957928346E-2</v>
      </c>
      <c r="AD157" s="221">
        <f t="shared" si="22"/>
        <v>9.4008310674888435E-2</v>
      </c>
      <c r="AE157" s="221">
        <f t="shared" si="22"/>
        <v>9.0774233789780848E-2</v>
      </c>
      <c r="AF157" s="221">
        <f t="shared" si="22"/>
        <v>8.7651503647362822E-2</v>
      </c>
      <c r="AG157" s="221">
        <f t="shared" si="22"/>
        <v>8.4636300728530539E-2</v>
      </c>
      <c r="AH157" s="221">
        <f t="shared" si="22"/>
        <v>8.1724936045994984E-2</v>
      </c>
      <c r="AI157" s="221">
        <f t="shared" si="22"/>
        <v>7.8913846696498785E-2</v>
      </c>
      <c r="AJ157" s="221">
        <f t="shared" si="22"/>
        <v>7.6199591564260039E-2</v>
      </c>
      <c r="AK157" s="221">
        <f t="shared" si="22"/>
        <v>7.3578847170509235E-2</v>
      </c>
      <c r="AL157" s="221">
        <f t="shared" si="22"/>
        <v>7.1048403664159682E-2</v>
      </c>
      <c r="AM157" s="221">
        <f t="shared" si="22"/>
        <v>6.8605160948819799E-2</v>
      </c>
      <c r="AN157" s="221">
        <f t="shared" si="22"/>
        <v>6.6246124941518492E-2</v>
      </c>
      <c r="AO157" s="221">
        <f t="shared" si="22"/>
        <v>6.3968403958671163E-2</v>
      </c>
      <c r="AP157" s="221">
        <f t="shared" si="22"/>
        <v>-6.0637335862735071E-3</v>
      </c>
    </row>
    <row r="158" spans="1:42" x14ac:dyDescent="0.25">
      <c r="A158" s="36"/>
    </row>
    <row r="159" spans="1:42" s="1" customFormat="1" x14ac:dyDescent="0.25">
      <c r="A159" s="151"/>
      <c r="B159" s="1" t="s">
        <v>269</v>
      </c>
      <c r="C159" s="1" t="s">
        <v>269</v>
      </c>
      <c r="D159" s="1" t="s">
        <v>269</v>
      </c>
      <c r="E159" s="1" t="s">
        <v>269</v>
      </c>
      <c r="F159" s="1" t="s">
        <v>269</v>
      </c>
      <c r="G159" s="1" t="s">
        <v>269</v>
      </c>
      <c r="H159" s="1" t="s">
        <v>269</v>
      </c>
      <c r="I159" s="1" t="s">
        <v>269</v>
      </c>
      <c r="J159" s="1" t="s">
        <v>269</v>
      </c>
      <c r="K159" s="1" t="s">
        <v>269</v>
      </c>
      <c r="L159" s="1" t="s">
        <v>269</v>
      </c>
      <c r="M159" s="1" t="s">
        <v>269</v>
      </c>
      <c r="N159" s="1" t="s">
        <v>269</v>
      </c>
      <c r="O159" s="1" t="s">
        <v>269</v>
      </c>
      <c r="P159" s="1" t="s">
        <v>269</v>
      </c>
      <c r="Q159" s="1" t="s">
        <v>269</v>
      </c>
      <c r="R159" s="1" t="s">
        <v>269</v>
      </c>
      <c r="S159" s="1" t="s">
        <v>269</v>
      </c>
      <c r="T159" s="1" t="s">
        <v>269</v>
      </c>
      <c r="U159" s="1" t="s">
        <v>269</v>
      </c>
      <c r="V159" s="1" t="s">
        <v>269</v>
      </c>
      <c r="W159" s="1" t="s">
        <v>269</v>
      </c>
      <c r="X159" s="1" t="s">
        <v>269</v>
      </c>
      <c r="Y159" s="1" t="s">
        <v>269</v>
      </c>
      <c r="Z159" s="1" t="s">
        <v>269</v>
      </c>
      <c r="AA159" s="1" t="s">
        <v>269</v>
      </c>
      <c r="AB159" s="1" t="s">
        <v>269</v>
      </c>
      <c r="AC159" s="1" t="s">
        <v>269</v>
      </c>
      <c r="AD159" s="1" t="s">
        <v>269</v>
      </c>
      <c r="AE159" s="1" t="s">
        <v>269</v>
      </c>
      <c r="AF159" s="1" t="s">
        <v>269</v>
      </c>
      <c r="AG159" s="1" t="s">
        <v>269</v>
      </c>
      <c r="AH159" s="1" t="s">
        <v>269</v>
      </c>
      <c r="AI159" s="1" t="s">
        <v>269</v>
      </c>
      <c r="AJ159" s="1" t="s">
        <v>269</v>
      </c>
      <c r="AK159" s="1" t="s">
        <v>269</v>
      </c>
      <c r="AL159" s="1" t="s">
        <v>269</v>
      </c>
      <c r="AM159" s="1" t="s">
        <v>269</v>
      </c>
      <c r="AN159" s="1" t="s">
        <v>269</v>
      </c>
      <c r="AO159" s="1" t="s">
        <v>269</v>
      </c>
      <c r="AP159" s="1" t="s">
        <v>269</v>
      </c>
    </row>
    <row r="160" spans="1:42" s="213" customFormat="1" ht="12.75" x14ac:dyDescent="0.2">
      <c r="A160" s="69" t="s">
        <v>527</v>
      </c>
      <c r="B160" s="208">
        <f>B157</f>
        <v>0.22603499629354901</v>
      </c>
      <c r="C160" s="208">
        <f>B160+C157</f>
        <v>0.44711737599137891</v>
      </c>
      <c r="D160" s="208">
        <f t="shared" ref="D160:AP160" si="23">C160+D157</f>
        <v>0.66335594215765903</v>
      </c>
      <c r="E160" s="208">
        <f t="shared" si="23"/>
        <v>0.87485710602719224</v>
      </c>
      <c r="F160" s="208">
        <f t="shared" si="23"/>
        <v>1.0817249395703019</v>
      </c>
      <c r="G160" s="208">
        <f t="shared" si="23"/>
        <v>1.284061226903384</v>
      </c>
      <c r="H160" s="208">
        <f t="shared" si="23"/>
        <v>1.4819655145704491</v>
      </c>
      <c r="I160" s="208">
        <f t="shared" si="23"/>
        <v>1.6755351607204207</v>
      </c>
      <c r="J160" s="208">
        <f t="shared" si="23"/>
        <v>1.864865383204416</v>
      </c>
      <c r="K160" s="208">
        <f t="shared" si="23"/>
        <v>2.0476846247416183</v>
      </c>
      <c r="L160" s="208">
        <f t="shared" si="23"/>
        <v>2.2242164762509367</v>
      </c>
      <c r="M160" s="208">
        <f t="shared" si="23"/>
        <v>2.3946768775200971</v>
      </c>
      <c r="N160" s="208">
        <f t="shared" si="23"/>
        <v>2.5592743781894449</v>
      </c>
      <c r="O160" s="208">
        <f t="shared" si="23"/>
        <v>2.7182103898551491</v>
      </c>
      <c r="P160" s="208">
        <f t="shared" si="23"/>
        <v>2.8716794295934531</v>
      </c>
      <c r="Q160" s="208">
        <f t="shared" si="23"/>
        <v>3.0198693551973901</v>
      </c>
      <c r="R160" s="208">
        <f t="shared" si="23"/>
        <v>3.1629615924074859</v>
      </c>
      <c r="S160" s="208">
        <f t="shared" si="23"/>
        <v>3.3011313544084304</v>
      </c>
      <c r="T160" s="208">
        <f t="shared" si="23"/>
        <v>3.4345478538544638</v>
      </c>
      <c r="U160" s="208">
        <f t="shared" si="23"/>
        <v>3.5633745076773153</v>
      </c>
      <c r="V160" s="208">
        <f t="shared" si="23"/>
        <v>3.6877691349219131</v>
      </c>
      <c r="W160" s="208">
        <f t="shared" si="23"/>
        <v>3.8078841478467713</v>
      </c>
      <c r="X160" s="208">
        <f t="shared" si="23"/>
        <v>3.9238667365179145</v>
      </c>
      <c r="Y160" s="208">
        <f t="shared" si="23"/>
        <v>4.0358590471174383</v>
      </c>
      <c r="Z160" s="208">
        <f t="shared" si="23"/>
        <v>4.1439983541803027</v>
      </c>
      <c r="AA160" s="208">
        <f t="shared" si="23"/>
        <v>4.2484172269657003</v>
      </c>
      <c r="AB160" s="208">
        <f t="shared" si="23"/>
        <v>4.3492436901623481</v>
      </c>
      <c r="AC160" s="208">
        <f t="shared" si="23"/>
        <v>4.4466013791202768</v>
      </c>
      <c r="AD160" s="208">
        <f t="shared" si="23"/>
        <v>4.5406096897951649</v>
      </c>
      <c r="AE160" s="208">
        <f t="shared" si="23"/>
        <v>4.6313839235849459</v>
      </c>
      <c r="AF160" s="208">
        <f t="shared" si="23"/>
        <v>4.719035427232309</v>
      </c>
      <c r="AG160" s="208">
        <f t="shared" si="23"/>
        <v>4.8036717279608396</v>
      </c>
      <c r="AH160" s="208">
        <f t="shared" si="23"/>
        <v>4.8853966640068345</v>
      </c>
      <c r="AI160" s="208">
        <f t="shared" si="23"/>
        <v>4.9643105107033332</v>
      </c>
      <c r="AJ160" s="208">
        <f t="shared" si="23"/>
        <v>5.0405101022675929</v>
      </c>
      <c r="AK160" s="208">
        <f t="shared" si="23"/>
        <v>5.1140889494381021</v>
      </c>
      <c r="AL160" s="208">
        <f t="shared" si="23"/>
        <v>5.1851373531022622</v>
      </c>
      <c r="AM160" s="208">
        <f t="shared" si="23"/>
        <v>5.2537425140510816</v>
      </c>
      <c r="AN160" s="208">
        <f t="shared" si="23"/>
        <v>5.3199886389925997</v>
      </c>
      <c r="AO160" s="208">
        <f t="shared" si="23"/>
        <v>5.3839570429512706</v>
      </c>
      <c r="AP160" s="208">
        <f t="shared" si="23"/>
        <v>5.377893309364997</v>
      </c>
    </row>
    <row r="161" spans="1:42" s="11" customFormat="1" x14ac:dyDescent="0.25">
      <c r="A161" s="70"/>
    </row>
    <row r="162" spans="1:42" x14ac:dyDescent="0.25">
      <c r="A162" s="64" t="s">
        <v>501</v>
      </c>
      <c r="B162" s="37">
        <f>IF(Diskontering!B16&lt;=Diskontering!$A$5,($A$108*Diskontering!B25),0)</f>
        <v>0</v>
      </c>
      <c r="C162" s="37">
        <f>IF([1]Diskontering!C16&lt;=[1]Diskontering!$A$5,($A$108*[1]Diskontering!C21),0)</f>
        <v>0</v>
      </c>
      <c r="D162" s="37">
        <f>IF([1]Diskontering!D16&lt;=[1]Diskontering!$A$5,($A$108*[1]Diskontering!D21),0)</f>
        <v>0</v>
      </c>
      <c r="E162" s="37">
        <f>IF([1]Diskontering!E16&lt;=[1]Diskontering!$A$5,($A$108*[1]Diskontering!E21),0)</f>
        <v>0</v>
      </c>
      <c r="F162" s="37">
        <f>IF([1]Diskontering!F16&lt;=[1]Diskontering!$A$5,($A$108*[1]Diskontering!F21),0)</f>
        <v>0</v>
      </c>
      <c r="G162" s="37">
        <f>IF([1]Diskontering!G16&lt;=[1]Diskontering!$A$5,($A$108*[1]Diskontering!G21),0)</f>
        <v>0</v>
      </c>
      <c r="H162" s="37">
        <f>IF([1]Diskontering!H16&lt;=[1]Diskontering!$A$5,($A$108*[1]Diskontering!H21),0)</f>
        <v>0</v>
      </c>
      <c r="I162" s="37">
        <f>IF([1]Diskontering!I16&lt;=[1]Diskontering!$A$5,($A$108*[1]Diskontering!I21),0)</f>
        <v>0</v>
      </c>
      <c r="J162" s="37">
        <f>IF([1]Diskontering!J16&lt;=[1]Diskontering!$A$5,($A$108*[1]Diskontering!J21),0)</f>
        <v>0</v>
      </c>
      <c r="K162" s="37">
        <f>IF([1]Diskontering!K16&lt;=[1]Diskontering!$A$5,($A$108*[1]Diskontering!K21),0)</f>
        <v>0</v>
      </c>
      <c r="L162" s="37">
        <f>IF([1]Diskontering!L16&lt;=[1]Diskontering!$A$5,($A$108*[1]Diskontering!L21),0)</f>
        <v>0</v>
      </c>
      <c r="M162" s="37">
        <f>IF([1]Diskontering!M16&lt;=[1]Diskontering!$A$5,($A$108*[1]Diskontering!M21),0)</f>
        <v>0</v>
      </c>
      <c r="N162" s="37">
        <f>IF([1]Diskontering!N16&lt;=[1]Diskontering!$A$5,($A$108*[1]Diskontering!N21),0)</f>
        <v>0</v>
      </c>
      <c r="O162" s="37">
        <f>IF([1]Diskontering!O16&lt;=[1]Diskontering!$A$5,($A$108*[1]Diskontering!O21),0)</f>
        <v>0</v>
      </c>
      <c r="P162" s="37">
        <f>IF([1]Diskontering!P16&lt;=[1]Diskontering!$A$5,($A$108*[1]Diskontering!P21),0)</f>
        <v>0</v>
      </c>
      <c r="Q162" s="37">
        <f>IF([1]Diskontering!Q16&lt;=[1]Diskontering!$A$5,($A$108*[1]Diskontering!Q21),0)</f>
        <v>0</v>
      </c>
      <c r="R162" s="37">
        <f>IF([1]Diskontering!R16&lt;=[1]Diskontering!$A$5,($A$108*[1]Diskontering!R21),0)</f>
        <v>0</v>
      </c>
      <c r="S162" s="37">
        <f>IF([1]Diskontering!S16&lt;=[1]Diskontering!$A$5,($A$108*[1]Diskontering!S21),0)</f>
        <v>0</v>
      </c>
      <c r="T162" s="37">
        <f>IF([1]Diskontering!T16&lt;=[1]Diskontering!$A$5,($A$108*[1]Diskontering!T21),0)</f>
        <v>0</v>
      </c>
      <c r="U162" s="37">
        <f>IF([1]Diskontering!U16&lt;=[1]Diskontering!$A$5,($A$108*[1]Diskontering!U21),0)</f>
        <v>0</v>
      </c>
      <c r="V162" s="37">
        <f>IF([1]Diskontering!V16&lt;=[1]Diskontering!$A$5,($A$108*[1]Diskontering!V21),0)</f>
        <v>0</v>
      </c>
      <c r="W162" s="37">
        <f>IF([1]Diskontering!W16&lt;=[1]Diskontering!$A$5,($A$108*[1]Diskontering!W21),0)</f>
        <v>0</v>
      </c>
      <c r="X162" s="37">
        <f>IF([1]Diskontering!X16&lt;=[1]Diskontering!$A$5,($A$108*[1]Diskontering!X21),0)</f>
        <v>0</v>
      </c>
      <c r="Y162" s="37">
        <f>IF([1]Diskontering!Y16&lt;=[1]Diskontering!$A$5,($A$108*[1]Diskontering!Y21),0)</f>
        <v>0</v>
      </c>
      <c r="Z162" s="37">
        <f>IF([1]Diskontering!Z16&lt;=[1]Diskontering!$A$5,($A$108*[1]Diskontering!Z21),0)</f>
        <v>0</v>
      </c>
      <c r="AA162" s="37">
        <f>IF([1]Diskontering!AA16&lt;=[1]Diskontering!$A$5,($A$108*[1]Diskontering!AA21),0)</f>
        <v>0</v>
      </c>
      <c r="AB162" s="37">
        <f>IF([1]Diskontering!AB16&lt;=[1]Diskontering!$A$5,($A$108*[1]Diskontering!AB21),0)</f>
        <v>0</v>
      </c>
      <c r="AC162" s="37">
        <f>IF([1]Diskontering!AC16&lt;=[1]Diskontering!$A$5,($A$108*[1]Diskontering!AC21),0)</f>
        <v>0</v>
      </c>
      <c r="AD162" s="37">
        <f>IF([1]Diskontering!AD16&lt;=[1]Diskontering!$A$5,($A$108*[1]Diskontering!AD21),0)</f>
        <v>0</v>
      </c>
      <c r="AE162" s="37">
        <f>IF([1]Diskontering!AE16&lt;=[1]Diskontering!$A$5,($A$108*[1]Diskontering!AE21),0)</f>
        <v>0</v>
      </c>
      <c r="AF162" s="37">
        <f>IF([1]Diskontering!AF16&lt;=[1]Diskontering!$A$5,($A$108*[1]Diskontering!AF21),0)</f>
        <v>0</v>
      </c>
      <c r="AG162" s="37">
        <f>IF([1]Diskontering!AG16&lt;=[1]Diskontering!$A$5,($A$108*[1]Diskontering!AG21),0)</f>
        <v>0</v>
      </c>
      <c r="AH162" s="37">
        <f>IF([1]Diskontering!AH16&lt;=[1]Diskontering!$A$5,($A$108*[1]Diskontering!AH21),0)</f>
        <v>0</v>
      </c>
      <c r="AI162" s="37">
        <f>IF([1]Diskontering!AI16&lt;=[1]Diskontering!$A$5,($A$108*[1]Diskontering!AI21),0)</f>
        <v>0</v>
      </c>
      <c r="AJ162" s="37">
        <f>IF([1]Diskontering!AJ16&lt;=[1]Diskontering!$A$5,($A$108*[1]Diskontering!AJ21),0)</f>
        <v>0</v>
      </c>
      <c r="AK162" s="37">
        <f>IF([1]Diskontering!AK16&lt;=[1]Diskontering!$A$5,($A$108*[1]Diskontering!AK21),0)</f>
        <v>0</v>
      </c>
      <c r="AL162" s="37">
        <f>IF([1]Diskontering!AL16&lt;=[1]Diskontering!$A$5,($A$108*[1]Diskontering!AL21),0)</f>
        <v>0</v>
      </c>
      <c r="AM162" s="37">
        <f>IF([1]Diskontering!AM16&lt;=[1]Diskontering!$A$5,($A$108*[1]Diskontering!AM21),0)</f>
        <v>0</v>
      </c>
      <c r="AN162" s="37">
        <f>IF([1]Diskontering!AN16&lt;=[1]Diskontering!$A$5,($A$108*[1]Diskontering!AN21),0)</f>
        <v>0</v>
      </c>
      <c r="AO162" s="37">
        <f>IF([1]Diskontering!AO16&lt;=[1]Diskontering!$A$5,($A$108*[1]Diskontering!AO21),0)</f>
        <v>0</v>
      </c>
      <c r="AP162" s="37">
        <f>IF([1]Diskontering!AP16&lt;=[1]Diskontering!$A$5,($A$108*[1]Diskontering!AP21),0)</f>
        <v>0</v>
      </c>
    </row>
    <row r="163" spans="1:42" s="170" customFormat="1" x14ac:dyDescent="0.25">
      <c r="A163" s="64" t="s">
        <v>528</v>
      </c>
      <c r="B163" s="223">
        <f>B162</f>
        <v>0</v>
      </c>
      <c r="C163" s="223">
        <f>B163+C162</f>
        <v>0</v>
      </c>
      <c r="D163" s="223">
        <f t="shared" ref="D163:AP163" si="24">C163+D162</f>
        <v>0</v>
      </c>
      <c r="E163" s="223">
        <f t="shared" si="24"/>
        <v>0</v>
      </c>
      <c r="F163" s="223">
        <f t="shared" si="24"/>
        <v>0</v>
      </c>
      <c r="G163" s="223">
        <f t="shared" si="24"/>
        <v>0</v>
      </c>
      <c r="H163" s="223">
        <f t="shared" si="24"/>
        <v>0</v>
      </c>
      <c r="I163" s="223">
        <f t="shared" si="24"/>
        <v>0</v>
      </c>
      <c r="J163" s="223">
        <f t="shared" si="24"/>
        <v>0</v>
      </c>
      <c r="K163" s="223">
        <f t="shared" si="24"/>
        <v>0</v>
      </c>
      <c r="L163" s="223">
        <f t="shared" si="24"/>
        <v>0</v>
      </c>
      <c r="M163" s="223">
        <f t="shared" si="24"/>
        <v>0</v>
      </c>
      <c r="N163" s="223">
        <f t="shared" si="24"/>
        <v>0</v>
      </c>
      <c r="O163" s="223">
        <f t="shared" si="24"/>
        <v>0</v>
      </c>
      <c r="P163" s="223">
        <f t="shared" si="24"/>
        <v>0</v>
      </c>
      <c r="Q163" s="223">
        <f t="shared" si="24"/>
        <v>0</v>
      </c>
      <c r="R163" s="223">
        <f t="shared" si="24"/>
        <v>0</v>
      </c>
      <c r="S163" s="223">
        <f t="shared" si="24"/>
        <v>0</v>
      </c>
      <c r="T163" s="223">
        <f t="shared" si="24"/>
        <v>0</v>
      </c>
      <c r="U163" s="223">
        <f t="shared" si="24"/>
        <v>0</v>
      </c>
      <c r="V163" s="223">
        <f t="shared" si="24"/>
        <v>0</v>
      </c>
      <c r="W163" s="223">
        <f t="shared" si="24"/>
        <v>0</v>
      </c>
      <c r="X163" s="223">
        <f t="shared" si="24"/>
        <v>0</v>
      </c>
      <c r="Y163" s="223">
        <f t="shared" si="24"/>
        <v>0</v>
      </c>
      <c r="Z163" s="223">
        <f t="shared" si="24"/>
        <v>0</v>
      </c>
      <c r="AA163" s="223">
        <f t="shared" si="24"/>
        <v>0</v>
      </c>
      <c r="AB163" s="223">
        <f t="shared" si="24"/>
        <v>0</v>
      </c>
      <c r="AC163" s="223">
        <f t="shared" si="24"/>
        <v>0</v>
      </c>
      <c r="AD163" s="223">
        <f t="shared" si="24"/>
        <v>0</v>
      </c>
      <c r="AE163" s="223">
        <f t="shared" si="24"/>
        <v>0</v>
      </c>
      <c r="AF163" s="223">
        <f t="shared" si="24"/>
        <v>0</v>
      </c>
      <c r="AG163" s="223">
        <f t="shared" si="24"/>
        <v>0</v>
      </c>
      <c r="AH163" s="223">
        <f t="shared" si="24"/>
        <v>0</v>
      </c>
      <c r="AI163" s="223">
        <f t="shared" si="24"/>
        <v>0</v>
      </c>
      <c r="AJ163" s="223">
        <f t="shared" si="24"/>
        <v>0</v>
      </c>
      <c r="AK163" s="223">
        <f t="shared" si="24"/>
        <v>0</v>
      </c>
      <c r="AL163" s="223">
        <f t="shared" si="24"/>
        <v>0</v>
      </c>
      <c r="AM163" s="223">
        <f t="shared" si="24"/>
        <v>0</v>
      </c>
      <c r="AN163" s="223">
        <f t="shared" si="24"/>
        <v>0</v>
      </c>
      <c r="AO163" s="223">
        <f t="shared" si="24"/>
        <v>0</v>
      </c>
      <c r="AP163" s="223">
        <f t="shared" si="24"/>
        <v>0</v>
      </c>
    </row>
    <row r="164" spans="1:42" x14ac:dyDescent="0.25">
      <c r="A164" s="20"/>
    </row>
    <row r="165" spans="1:42" s="1" customFormat="1" x14ac:dyDescent="0.25">
      <c r="A165" s="151"/>
      <c r="B165" s="1" t="s">
        <v>269</v>
      </c>
      <c r="C165" s="1" t="s">
        <v>269</v>
      </c>
      <c r="D165" s="1" t="s">
        <v>269</v>
      </c>
      <c r="E165" s="1" t="s">
        <v>269</v>
      </c>
      <c r="F165" s="1" t="s">
        <v>269</v>
      </c>
      <c r="G165" s="1" t="s">
        <v>269</v>
      </c>
      <c r="H165" s="1" t="s">
        <v>269</v>
      </c>
      <c r="I165" s="1" t="s">
        <v>269</v>
      </c>
      <c r="J165" s="1" t="s">
        <v>269</v>
      </c>
      <c r="K165" s="1" t="s">
        <v>269</v>
      </c>
      <c r="L165" s="1" t="s">
        <v>269</v>
      </c>
      <c r="M165" s="1" t="s">
        <v>269</v>
      </c>
      <c r="N165" s="1" t="s">
        <v>269</v>
      </c>
      <c r="O165" s="1" t="s">
        <v>269</v>
      </c>
      <c r="P165" s="1" t="s">
        <v>269</v>
      </c>
      <c r="Q165" s="1" t="s">
        <v>269</v>
      </c>
      <c r="R165" s="1" t="s">
        <v>269</v>
      </c>
      <c r="S165" s="1" t="s">
        <v>269</v>
      </c>
      <c r="T165" s="1" t="s">
        <v>269</v>
      </c>
      <c r="U165" s="1" t="s">
        <v>269</v>
      </c>
      <c r="V165" s="1" t="s">
        <v>269</v>
      </c>
      <c r="W165" s="1" t="s">
        <v>269</v>
      </c>
      <c r="X165" s="1" t="s">
        <v>269</v>
      </c>
      <c r="Y165" s="1" t="s">
        <v>269</v>
      </c>
      <c r="Z165" s="1" t="s">
        <v>269</v>
      </c>
      <c r="AA165" s="1" t="s">
        <v>269</v>
      </c>
      <c r="AB165" s="1" t="s">
        <v>269</v>
      </c>
      <c r="AC165" s="1" t="s">
        <v>269</v>
      </c>
      <c r="AD165" s="1" t="s">
        <v>269</v>
      </c>
      <c r="AE165" s="1" t="s">
        <v>269</v>
      </c>
      <c r="AF165" s="1" t="s">
        <v>269</v>
      </c>
      <c r="AG165" s="1" t="s">
        <v>269</v>
      </c>
      <c r="AH165" s="1" t="s">
        <v>269</v>
      </c>
      <c r="AI165" s="1" t="s">
        <v>269</v>
      </c>
      <c r="AJ165" s="1" t="s">
        <v>269</v>
      </c>
      <c r="AK165" s="1" t="s">
        <v>269</v>
      </c>
      <c r="AL165" s="1" t="s">
        <v>269</v>
      </c>
      <c r="AM165" s="1" t="s">
        <v>269</v>
      </c>
      <c r="AN165" s="1" t="s">
        <v>269</v>
      </c>
      <c r="AO165" s="1" t="s">
        <v>269</v>
      </c>
      <c r="AP165" s="1" t="s">
        <v>269</v>
      </c>
    </row>
    <row r="166" spans="1:42" s="225" customFormat="1" x14ac:dyDescent="0.25">
      <c r="A166" s="64" t="s">
        <v>529</v>
      </c>
      <c r="B166" s="224">
        <f>B132+B140+B160+B163</f>
        <v>0.22743999629354894</v>
      </c>
      <c r="C166" s="224">
        <f t="shared" ref="C166:AP166" si="25">C132+C140+C160+C163</f>
        <v>0.43737029396864069</v>
      </c>
      <c r="D166" s="224">
        <f t="shared" si="25"/>
        <v>0.63078958887445113</v>
      </c>
      <c r="E166" s="224">
        <f t="shared" si="25"/>
        <v>0.80864521466876083</v>
      </c>
      <c r="F166" s="224">
        <f t="shared" si="25"/>
        <v>0.97183566518259101</v>
      </c>
      <c r="G166" s="224">
        <f t="shared" si="25"/>
        <v>1.1212129956934556</v>
      </c>
      <c r="H166" s="224">
        <f t="shared" si="25"/>
        <v>1.2575851088530885</v>
      </c>
      <c r="I166" s="224">
        <f t="shared" si="25"/>
        <v>1.3817179307445213</v>
      </c>
      <c r="J166" s="224">
        <f t="shared" si="25"/>
        <v>1.4943374822851383</v>
      </c>
      <c r="K166" s="224">
        <f t="shared" si="25"/>
        <v>1.5937671690711499</v>
      </c>
      <c r="L166" s="224">
        <f t="shared" si="25"/>
        <v>1.6807915354734928</v>
      </c>
      <c r="M166" s="224">
        <f t="shared" si="25"/>
        <v>1.7561552066466237</v>
      </c>
      <c r="N166" s="224">
        <f t="shared" si="25"/>
        <v>1.8205648057048049</v>
      </c>
      <c r="O166" s="224">
        <f t="shared" si="25"/>
        <v>1.8746907809454032</v>
      </c>
      <c r="P166" s="224">
        <f t="shared" si="25"/>
        <v>1.9191691473027204</v>
      </c>
      <c r="Q166" s="224">
        <f t="shared" si="25"/>
        <v>1.954603146021785</v>
      </c>
      <c r="R166" s="224">
        <f t="shared" si="25"/>
        <v>1.9815648263564278</v>
      </c>
      <c r="S166" s="224">
        <f t="shared" si="25"/>
        <v>2.0005965529194816</v>
      </c>
      <c r="T166" s="224">
        <f t="shared" si="25"/>
        <v>2.0122124421446146</v>
      </c>
      <c r="U166" s="224">
        <f t="shared" si="25"/>
        <v>2.0168997311588286</v>
      </c>
      <c r="V166" s="224">
        <f t="shared" si="25"/>
        <v>2.0151200822115727</v>
      </c>
      <c r="W166" s="224">
        <f t="shared" si="25"/>
        <v>2.007310825660499</v>
      </c>
      <c r="X166" s="224">
        <f t="shared" si="25"/>
        <v>1.9938861443746849</v>
      </c>
      <c r="Y166" s="224">
        <f t="shared" si="25"/>
        <v>1.9752382022834287</v>
      </c>
      <c r="Z166" s="224">
        <f t="shared" si="25"/>
        <v>1.9517382196721664</v>
      </c>
      <c r="AA166" s="224">
        <f t="shared" si="25"/>
        <v>1.9237374977063388</v>
      </c>
      <c r="AB166" s="224">
        <f t="shared" si="25"/>
        <v>1.8915683945489685</v>
      </c>
      <c r="AC166" s="224">
        <f t="shared" si="25"/>
        <v>1.8555452553279168</v>
      </c>
      <c r="AD166" s="224">
        <f t="shared" si="25"/>
        <v>1.8159652981041465</v>
      </c>
      <c r="AE166" s="224">
        <f t="shared" si="25"/>
        <v>1.7731094578924824</v>
      </c>
      <c r="AF166" s="224">
        <f t="shared" si="25"/>
        <v>1.7272431906911763</v>
      </c>
      <c r="AG166" s="224">
        <f t="shared" si="25"/>
        <v>1.6786172393858263</v>
      </c>
      <c r="AH166" s="224">
        <f t="shared" si="25"/>
        <v>1.6274683633066118</v>
      </c>
      <c r="AI166" s="224">
        <f t="shared" si="25"/>
        <v>1.5740200331352714</v>
      </c>
      <c r="AJ166" s="224">
        <f t="shared" si="25"/>
        <v>1.5184830927795172</v>
      </c>
      <c r="AK166" s="224">
        <f t="shared" si="25"/>
        <v>1.4610563897575228</v>
      </c>
      <c r="AL166" s="224">
        <f t="shared" si="25"/>
        <v>1.4019273755634942</v>
      </c>
      <c r="AM166" s="224">
        <f t="shared" si="25"/>
        <v>1.3412726774170971</v>
      </c>
      <c r="AN166" s="224">
        <f t="shared" si="25"/>
        <v>1.2792586427343817</v>
      </c>
      <c r="AO166" s="224">
        <f t="shared" si="25"/>
        <v>1.2160418575957506</v>
      </c>
      <c r="AP166" s="224">
        <f t="shared" si="25"/>
        <v>1.0839367016160724</v>
      </c>
    </row>
    <row r="170" spans="1:42" ht="15.75" x14ac:dyDescent="0.25">
      <c r="A170" s="10" t="s">
        <v>267</v>
      </c>
    </row>
    <row r="171" spans="1:42" x14ac:dyDescent="0.25">
      <c r="A171" s="43" t="s">
        <v>268</v>
      </c>
    </row>
    <row r="173" spans="1:42" x14ac:dyDescent="0.25">
      <c r="A173" s="39" t="s">
        <v>530</v>
      </c>
    </row>
    <row r="174" spans="1:42" x14ac:dyDescent="0.25">
      <c r="A174" t="s">
        <v>505</v>
      </c>
      <c r="B174" s="226">
        <f>SUM(B126:AP126)</f>
        <v>-5.1472005454723098</v>
      </c>
    </row>
    <row r="175" spans="1:42" x14ac:dyDescent="0.25">
      <c r="A175" s="340" t="s">
        <v>506</v>
      </c>
      <c r="B175" s="490">
        <f>SUM(B127:AP127)</f>
        <v>0</v>
      </c>
      <c r="C175" s="491" t="s">
        <v>760</v>
      </c>
      <c r="D175" s="340"/>
      <c r="E175" s="340"/>
    </row>
    <row r="176" spans="1:42" x14ac:dyDescent="0.25">
      <c r="A176" t="s">
        <v>52</v>
      </c>
      <c r="B176" s="226">
        <f>SUM(B128:AP128)</f>
        <v>-1.1944178455188412</v>
      </c>
    </row>
    <row r="178" spans="1:2" x14ac:dyDescent="0.25">
      <c r="A178" s="39" t="s">
        <v>531</v>
      </c>
    </row>
    <row r="179" spans="1:2" x14ac:dyDescent="0.25">
      <c r="A179" t="s">
        <v>486</v>
      </c>
      <c r="B179" s="226">
        <f>SUM(B135:AP135)</f>
        <v>-4.2587580887945533</v>
      </c>
    </row>
    <row r="180" spans="1:2" x14ac:dyDescent="0.25">
      <c r="A180" t="s">
        <v>510</v>
      </c>
      <c r="B180" s="226">
        <f>SUM(B136:AP136)+SUM(B137:AP137)</f>
        <v>6.3064198720367717</v>
      </c>
    </row>
    <row r="182" spans="1:2" x14ac:dyDescent="0.25">
      <c r="A182" s="39" t="s">
        <v>335</v>
      </c>
    </row>
    <row r="183" spans="1:2" x14ac:dyDescent="0.25">
      <c r="A183" t="s">
        <v>532</v>
      </c>
      <c r="B183" s="226">
        <f>SUM(B157:AP157)</f>
        <v>5.377893309364997</v>
      </c>
    </row>
    <row r="185" spans="1:2" x14ac:dyDescent="0.25">
      <c r="A185" s="39" t="s">
        <v>365</v>
      </c>
    </row>
    <row r="186" spans="1:2" x14ac:dyDescent="0.25">
      <c r="A186" t="s">
        <v>533</v>
      </c>
      <c r="B186" s="227">
        <f>SUM(B162:AP162)</f>
        <v>0</v>
      </c>
    </row>
    <row r="188" spans="1:2" x14ac:dyDescent="0.25">
      <c r="A188" s="192" t="s">
        <v>534</v>
      </c>
      <c r="B188" s="228">
        <f>SUM(B174:B186)</f>
        <v>1.0839367016160635</v>
      </c>
    </row>
  </sheetData>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26"/>
  <sheetViews>
    <sheetView zoomScale="75" zoomScaleNormal="75" workbookViewId="0">
      <selection activeCell="B13" sqref="B13"/>
    </sheetView>
  </sheetViews>
  <sheetFormatPr defaultRowHeight="15" x14ac:dyDescent="0.25"/>
  <cols>
    <col min="1" max="1" width="28.5703125" customWidth="1"/>
    <col min="2" max="2" width="15.28515625" style="1" customWidth="1"/>
    <col min="3" max="3" width="12.5703125" style="1" bestFit="1" customWidth="1"/>
    <col min="4" max="4" width="11.28515625" style="1" customWidth="1"/>
    <col min="5" max="5" width="14.28515625" style="1" customWidth="1"/>
    <col min="6" max="6" width="11.5703125" style="1" bestFit="1" customWidth="1"/>
    <col min="7" max="7" width="14.42578125" style="1" customWidth="1"/>
    <col min="8" max="8" width="11.42578125" style="275" customWidth="1"/>
    <col min="9" max="9" width="11.42578125" style="1" customWidth="1"/>
    <col min="10" max="10" width="10.140625" style="1" customWidth="1"/>
    <col min="11" max="11" width="14.28515625" style="1" customWidth="1"/>
    <col min="12" max="12" width="17.42578125" style="1" customWidth="1"/>
    <col min="13" max="13" width="12.7109375" style="1" customWidth="1"/>
    <col min="14" max="14" width="12.5703125" style="1" bestFit="1" customWidth="1"/>
    <col min="15" max="15" width="8.85546875" style="1" customWidth="1"/>
    <col min="16" max="16" width="12.5703125" style="1" bestFit="1" customWidth="1"/>
    <col min="17" max="17" width="9.42578125" style="1" customWidth="1"/>
    <col min="18" max="18" width="9.7109375" style="1" customWidth="1"/>
    <col min="19" max="19" width="9.28515625" style="1" customWidth="1"/>
    <col min="20" max="20" width="9.5703125" style="1" customWidth="1"/>
    <col min="21" max="21" width="9.140625" style="1" customWidth="1"/>
    <col min="22" max="22" width="10.140625" style="1" customWidth="1"/>
    <col min="23" max="23" width="12.140625" style="1" customWidth="1"/>
    <col min="24" max="24" width="11" style="1" customWidth="1"/>
    <col min="25" max="25" width="12.5703125" style="1" customWidth="1"/>
    <col min="26" max="26" width="12.5703125" style="1" bestFit="1" customWidth="1"/>
    <col min="27" max="28" width="12.5703125" bestFit="1" customWidth="1"/>
    <col min="29" max="29" width="9.85546875" customWidth="1"/>
    <col min="30" max="30" width="14.85546875" customWidth="1"/>
    <col min="31" max="31" width="15" style="1" customWidth="1"/>
    <col min="32" max="32" width="11.7109375" style="1" customWidth="1"/>
    <col min="33" max="33" width="11.140625" style="1" customWidth="1"/>
    <col min="34" max="34" width="12.5703125" bestFit="1" customWidth="1"/>
    <col min="35" max="35" width="10.42578125" customWidth="1"/>
    <col min="36" max="36" width="13.140625" customWidth="1"/>
    <col min="37" max="37" width="12.42578125" customWidth="1"/>
    <col min="38" max="38" width="14.5703125" style="1" bestFit="1" customWidth="1"/>
    <col min="39" max="39" width="14.28515625" style="1" customWidth="1"/>
    <col min="40" max="40" width="15.42578125" style="1" bestFit="1" customWidth="1"/>
    <col min="41" max="41" width="13.7109375" customWidth="1"/>
    <col min="42" max="42" width="11" customWidth="1"/>
    <col min="43" max="43" width="11.7109375" customWidth="1"/>
    <col min="44" max="44" width="12" customWidth="1"/>
    <col min="45" max="45" width="12.7109375" bestFit="1" customWidth="1"/>
    <col min="46" max="46" width="12" customWidth="1"/>
    <col min="47" max="47" width="14.7109375" customWidth="1"/>
    <col min="48" max="48" width="11.140625" customWidth="1"/>
    <col min="49" max="49" width="11.85546875" style="1" bestFit="1" customWidth="1"/>
    <col min="50" max="50" width="8.85546875" customWidth="1"/>
    <col min="51" max="51" width="10" style="1" customWidth="1"/>
    <col min="52" max="54" width="11" style="1" customWidth="1"/>
    <col min="55" max="55" width="12.28515625" style="1" bestFit="1" customWidth="1"/>
    <col min="56" max="56" width="11.28515625" style="1" customWidth="1"/>
    <col min="57" max="57" width="12" style="1" customWidth="1"/>
    <col min="58" max="58" width="11.28515625" style="1" customWidth="1"/>
    <col min="59" max="59" width="11.7109375" style="1" customWidth="1"/>
    <col min="60" max="60" width="11.28515625" style="1" customWidth="1"/>
    <col min="61" max="63" width="11.42578125" style="1" customWidth="1"/>
    <col min="64" max="64" width="12.28515625" style="1" bestFit="1" customWidth="1"/>
    <col min="65" max="65" width="12.28515625" style="1" customWidth="1"/>
    <col min="66" max="68" width="12.85546875" customWidth="1"/>
    <col min="69" max="69" width="11.7109375" style="1" customWidth="1"/>
    <col min="70" max="70" width="10.140625" bestFit="1" customWidth="1"/>
    <col min="71" max="71" width="9.140625" style="1"/>
    <col min="72" max="72" width="11.85546875" bestFit="1" customWidth="1"/>
    <col min="73" max="73" width="11.85546875" style="275" bestFit="1" customWidth="1"/>
    <col min="74" max="74" width="9.140625" style="275"/>
    <col min="75" max="75" width="10.140625" style="1" customWidth="1"/>
    <col min="76" max="76" width="11.140625" style="1" customWidth="1"/>
  </cols>
  <sheetData>
    <row r="1" spans="1:77" ht="20.25" x14ac:dyDescent="0.3">
      <c r="A1" s="198" t="s">
        <v>612</v>
      </c>
      <c r="D1" s="278"/>
      <c r="E1" s="278"/>
      <c r="F1" s="278"/>
      <c r="G1" s="278"/>
      <c r="H1" s="278"/>
    </row>
    <row r="2" spans="1:77" x14ac:dyDescent="0.25">
      <c r="A2" t="s">
        <v>614</v>
      </c>
      <c r="D2" s="278"/>
      <c r="E2" s="278"/>
      <c r="F2" s="278"/>
      <c r="G2" s="278"/>
      <c r="H2" s="278"/>
    </row>
    <row r="3" spans="1:77" ht="20.25" x14ac:dyDescent="0.3">
      <c r="A3" s="169"/>
      <c r="D3" s="278"/>
      <c r="E3" s="278"/>
      <c r="F3" s="278"/>
      <c r="G3" s="278"/>
      <c r="H3" s="278"/>
      <c r="L3" s="276"/>
    </row>
    <row r="4" spans="1:77" x14ac:dyDescent="0.25">
      <c r="A4" t="s">
        <v>570</v>
      </c>
      <c r="H4" s="1"/>
      <c r="Z4"/>
      <c r="AD4" s="1"/>
      <c r="AE4"/>
      <c r="AF4"/>
      <c r="AG4"/>
      <c r="AI4" s="1"/>
      <c r="AJ4" s="1"/>
      <c r="AK4" s="38"/>
      <c r="AL4"/>
      <c r="AM4"/>
      <c r="AN4"/>
      <c r="AP4" s="1"/>
      <c r="AR4" s="1"/>
      <c r="AT4" s="275"/>
      <c r="AU4" s="275"/>
      <c r="AV4" s="1"/>
    </row>
    <row r="5" spans="1:77" x14ac:dyDescent="0.25">
      <c r="A5" t="s">
        <v>571</v>
      </c>
      <c r="H5" s="1"/>
      <c r="Z5"/>
      <c r="AD5" s="1"/>
      <c r="AE5"/>
      <c r="AF5"/>
      <c r="AG5"/>
      <c r="AI5" s="1"/>
      <c r="AJ5" s="1"/>
      <c r="AK5" s="1"/>
      <c r="AL5"/>
      <c r="AM5"/>
      <c r="AN5"/>
      <c r="AP5" s="1"/>
      <c r="AR5" s="1"/>
      <c r="AT5" s="275"/>
      <c r="AU5" s="275"/>
      <c r="AV5" s="1"/>
    </row>
    <row r="6" spans="1:77" x14ac:dyDescent="0.25">
      <c r="A6" t="s">
        <v>572</v>
      </c>
      <c r="H6" s="1"/>
      <c r="Z6"/>
      <c r="AD6" s="1"/>
      <c r="AI6" s="180"/>
      <c r="AJ6" s="277"/>
      <c r="AK6" s="277" t="s">
        <v>335</v>
      </c>
      <c r="AL6" s="277"/>
      <c r="AM6" s="277"/>
      <c r="AN6" s="277"/>
      <c r="AR6" s="718" t="s">
        <v>573</v>
      </c>
      <c r="AS6" s="719"/>
      <c r="AT6" s="720" t="s">
        <v>276</v>
      </c>
      <c r="AU6" s="720"/>
    </row>
    <row r="7" spans="1:77" x14ac:dyDescent="0.25">
      <c r="A7" t="s">
        <v>574</v>
      </c>
      <c r="H7" s="1"/>
      <c r="Z7"/>
      <c r="AD7" s="1"/>
      <c r="AE7"/>
      <c r="AF7"/>
      <c r="AG7"/>
      <c r="AJ7" s="1"/>
      <c r="AK7" s="1"/>
      <c r="AO7" s="1"/>
      <c r="AP7" s="1"/>
      <c r="AR7" s="1"/>
      <c r="AT7" s="275"/>
      <c r="AU7" s="275"/>
      <c r="AV7" s="1"/>
      <c r="BG7" s="279"/>
    </row>
    <row r="8" spans="1:77" x14ac:dyDescent="0.25">
      <c r="H8" s="1"/>
      <c r="L8" s="38"/>
      <c r="Z8"/>
      <c r="AE8"/>
      <c r="AF8"/>
      <c r="AG8"/>
      <c r="AJ8" s="1"/>
      <c r="AK8" s="1"/>
      <c r="AL8"/>
      <c r="AM8"/>
      <c r="AP8" s="1"/>
      <c r="AR8" s="1"/>
      <c r="AT8" s="275"/>
      <c r="AU8" s="275"/>
      <c r="AV8" s="1"/>
    </row>
    <row r="9" spans="1:77" x14ac:dyDescent="0.25">
      <c r="H9" s="316"/>
      <c r="I9" s="160"/>
      <c r="Z9"/>
      <c r="AB9" s="1"/>
      <c r="AC9" s="721" t="s">
        <v>694</v>
      </c>
      <c r="AD9" s="722"/>
      <c r="AE9" s="722"/>
      <c r="AF9" s="722"/>
      <c r="AG9" s="722"/>
      <c r="AH9" s="722"/>
      <c r="AI9" s="1"/>
      <c r="AJ9" s="1"/>
      <c r="AK9" s="1"/>
      <c r="AP9" s="1"/>
      <c r="AR9" s="340"/>
      <c r="AS9" s="340"/>
      <c r="AT9" s="340"/>
      <c r="AU9" s="341" t="s">
        <v>659</v>
      </c>
      <c r="AV9" s="340"/>
      <c r="AW9" s="341"/>
      <c r="AX9" s="341"/>
      <c r="BA9" s="151"/>
      <c r="BB9" s="151"/>
      <c r="BC9" s="151"/>
      <c r="BD9" s="151"/>
      <c r="BE9" s="151"/>
      <c r="BF9" s="151"/>
      <c r="BG9" s="151"/>
      <c r="BH9" s="151"/>
      <c r="BI9" s="151"/>
      <c r="BL9"/>
      <c r="BM9"/>
      <c r="BO9" s="1"/>
      <c r="BS9" s="275"/>
      <c r="BT9" s="275"/>
      <c r="BU9" s="1"/>
      <c r="BV9" s="1"/>
      <c r="BW9"/>
      <c r="BX9"/>
    </row>
    <row r="10" spans="1:77" s="199" customFormat="1" ht="90" x14ac:dyDescent="0.25">
      <c r="A10" s="199" t="s">
        <v>278</v>
      </c>
      <c r="B10" s="200" t="s">
        <v>575</v>
      </c>
      <c r="C10" s="45" t="s">
        <v>279</v>
      </c>
      <c r="D10" s="311" t="s">
        <v>576</v>
      </c>
      <c r="E10" s="45" t="s">
        <v>280</v>
      </c>
      <c r="F10" s="45" t="s">
        <v>280</v>
      </c>
      <c r="G10" s="45" t="s">
        <v>652</v>
      </c>
      <c r="H10" s="45" t="s">
        <v>282</v>
      </c>
      <c r="I10" s="45" t="s">
        <v>284</v>
      </c>
      <c r="J10" s="200" t="s">
        <v>653</v>
      </c>
      <c r="K10" s="45" t="s">
        <v>640</v>
      </c>
      <c r="L10" s="45" t="s">
        <v>676</v>
      </c>
      <c r="M10" s="45" t="s">
        <v>646</v>
      </c>
      <c r="N10" s="200" t="s">
        <v>287</v>
      </c>
      <c r="O10" s="200" t="s">
        <v>287</v>
      </c>
      <c r="P10" s="200" t="s">
        <v>287</v>
      </c>
      <c r="Q10" s="200" t="s">
        <v>287</v>
      </c>
      <c r="R10" s="200" t="s">
        <v>287</v>
      </c>
      <c r="S10" s="200" t="s">
        <v>287</v>
      </c>
      <c r="T10" s="200" t="s">
        <v>287</v>
      </c>
      <c r="U10" s="200" t="s">
        <v>287</v>
      </c>
      <c r="V10" s="200" t="s">
        <v>287</v>
      </c>
      <c r="W10" s="200" t="s">
        <v>288</v>
      </c>
      <c r="X10" s="200" t="s">
        <v>287</v>
      </c>
      <c r="Y10" s="200" t="s">
        <v>289</v>
      </c>
      <c r="Z10" s="280" t="s">
        <v>290</v>
      </c>
      <c r="AA10" s="281" t="s">
        <v>291</v>
      </c>
      <c r="AB10" s="282"/>
      <c r="AC10" s="281" t="s">
        <v>292</v>
      </c>
      <c r="AD10" s="281" t="s">
        <v>678</v>
      </c>
      <c r="AE10" s="200" t="s">
        <v>79</v>
      </c>
      <c r="AF10" s="200" t="s">
        <v>294</v>
      </c>
      <c r="AG10" s="200" t="s">
        <v>295</v>
      </c>
      <c r="AH10" s="200" t="s">
        <v>295</v>
      </c>
      <c r="AI10" s="200" t="s">
        <v>295</v>
      </c>
      <c r="AJ10" s="200" t="s">
        <v>295</v>
      </c>
      <c r="AK10" s="200" t="s">
        <v>577</v>
      </c>
      <c r="AL10" s="200" t="s">
        <v>578</v>
      </c>
      <c r="AM10" s="200" t="s">
        <v>579</v>
      </c>
      <c r="AN10" s="200" t="s">
        <v>580</v>
      </c>
      <c r="AO10" s="200" t="s">
        <v>581</v>
      </c>
      <c r="AP10" s="200" t="s">
        <v>335</v>
      </c>
      <c r="AQ10" s="200" t="s">
        <v>582</v>
      </c>
      <c r="AR10" s="200" t="s">
        <v>582</v>
      </c>
      <c r="AS10" s="333" t="s">
        <v>583</v>
      </c>
      <c r="AT10" s="200" t="s">
        <v>583</v>
      </c>
      <c r="AU10" s="283" t="s">
        <v>584</v>
      </c>
      <c r="AV10" s="283" t="s">
        <v>675</v>
      </c>
      <c r="AW10" s="200" t="s">
        <v>585</v>
      </c>
      <c r="AX10" s="311" t="s">
        <v>689</v>
      </c>
      <c r="BB10" s="200"/>
      <c r="BC10" s="200"/>
      <c r="BD10" s="45"/>
      <c r="BE10" s="45"/>
      <c r="BF10" s="45"/>
      <c r="BG10" s="45"/>
      <c r="BH10" s="45"/>
      <c r="BI10" s="45"/>
      <c r="BJ10" s="45"/>
      <c r="BK10" s="45"/>
      <c r="BL10" s="45"/>
      <c r="BM10" s="200"/>
    </row>
    <row r="11" spans="1:77" s="263" customFormat="1" ht="90.75" x14ac:dyDescent="0.25">
      <c r="A11" s="284" t="s">
        <v>305</v>
      </c>
      <c r="B11" s="201"/>
      <c r="C11" s="201"/>
      <c r="D11" s="45" t="s">
        <v>586</v>
      </c>
      <c r="E11" s="201" t="s">
        <v>169</v>
      </c>
      <c r="F11" s="201" t="s">
        <v>118</v>
      </c>
      <c r="G11" s="331" t="s">
        <v>654</v>
      </c>
      <c r="H11" s="201" t="s">
        <v>307</v>
      </c>
      <c r="I11" s="55" t="s">
        <v>308</v>
      </c>
      <c r="J11" s="201" t="s">
        <v>309</v>
      </c>
      <c r="K11" s="330" t="s">
        <v>655</v>
      </c>
      <c r="L11" s="330" t="s">
        <v>677</v>
      </c>
      <c r="M11" s="330" t="s">
        <v>657</v>
      </c>
      <c r="N11" s="201" t="str">
        <f>[1]Kalkylvärden!L100</f>
        <v>Jordbruk</v>
      </c>
      <c r="O11" s="201" t="str">
        <f>[1]Kalkylvärden!L101</f>
        <v>Rundvirke</v>
      </c>
      <c r="P11" s="201" t="str">
        <f>[1]Kalkylvärden!L102</f>
        <v>Trävaror</v>
      </c>
      <c r="Q11" s="201" t="str">
        <f>[1]Kalkylvärden!L103</f>
        <v>Livsmedel</v>
      </c>
      <c r="R11" s="201" t="str">
        <f>[1]Kalkylvärden!L104</f>
        <v>Råolja och kol</v>
      </c>
      <c r="S11" s="201" t="str">
        <f>[1]Kalkylvärden!L105</f>
        <v>Oljeprod., inkl. tjära</v>
      </c>
      <c r="T11" s="201" t="str">
        <f>[1]Kalkylvärden!L106</f>
        <v>Järnmalm och skrot</v>
      </c>
      <c r="U11" s="201" t="str">
        <f>[1]Kalkylvärden!L107</f>
        <v>Stål</v>
      </c>
      <c r="V11" s="201" t="str">
        <f>[1]Kalkylvärden!L108</f>
        <v>Papper och massa</v>
      </c>
      <c r="W11" s="201" t="str">
        <f>[1]Kalkylvärden!L109</f>
        <v>Jord, sten och byggnad</v>
      </c>
      <c r="X11" s="201" t="str">
        <f>[1]Kalkylvärden!L110</f>
        <v>Kemikalier</v>
      </c>
      <c r="Y11" s="201" t="str">
        <f>[1]Kalkylvärden!L111</f>
        <v>Färdiga industriprod.</v>
      </c>
      <c r="Z11" s="285" t="s">
        <v>1</v>
      </c>
      <c r="AA11" s="201" t="s">
        <v>311</v>
      </c>
      <c r="AB11" s="201" t="s">
        <v>312</v>
      </c>
      <c r="AC11" s="201" t="s">
        <v>313</v>
      </c>
      <c r="AD11" s="362" t="s">
        <v>679</v>
      </c>
      <c r="AE11" s="201" t="s">
        <v>258</v>
      </c>
      <c r="AF11" s="201" t="s">
        <v>258</v>
      </c>
      <c r="AG11" s="201" t="s">
        <v>314</v>
      </c>
      <c r="AH11" s="201" t="s">
        <v>315</v>
      </c>
      <c r="AI11" s="201" t="s">
        <v>316</v>
      </c>
      <c r="AJ11" s="201" t="s">
        <v>317</v>
      </c>
      <c r="AK11" s="201" t="s">
        <v>328</v>
      </c>
      <c r="AL11" s="201" t="s">
        <v>328</v>
      </c>
      <c r="AM11" s="201" t="s">
        <v>328</v>
      </c>
      <c r="AN11" s="201" t="s">
        <v>328</v>
      </c>
      <c r="AO11" s="201" t="s">
        <v>328</v>
      </c>
      <c r="AP11" s="201" t="s">
        <v>587</v>
      </c>
      <c r="AQ11" s="200" t="s">
        <v>197</v>
      </c>
      <c r="AR11" s="200" t="s">
        <v>658</v>
      </c>
      <c r="AS11" s="333" t="s">
        <v>198</v>
      </c>
      <c r="AT11" s="200" t="s">
        <v>197</v>
      </c>
      <c r="AU11" s="283" t="s">
        <v>328</v>
      </c>
      <c r="AV11" s="283" t="s">
        <v>328</v>
      </c>
      <c r="AW11" s="283" t="s">
        <v>328</v>
      </c>
      <c r="AX11" s="283" t="s">
        <v>328</v>
      </c>
      <c r="BB11" s="200"/>
      <c r="BC11" s="200"/>
      <c r="BD11" s="201"/>
      <c r="BE11" s="201"/>
      <c r="BF11" s="201"/>
      <c r="BG11" s="201"/>
      <c r="BH11" s="201"/>
      <c r="BI11" s="201"/>
      <c r="BJ11" s="201"/>
      <c r="BK11" s="201"/>
      <c r="BL11" s="201"/>
      <c r="BM11" s="201"/>
    </row>
    <row r="12" spans="1:77" x14ac:dyDescent="0.25">
      <c r="A12" s="231" t="s">
        <v>616</v>
      </c>
      <c r="B12" s="262">
        <v>20000</v>
      </c>
      <c r="C12" s="262">
        <v>100</v>
      </c>
      <c r="D12" s="239">
        <f>B12/C12</f>
        <v>200</v>
      </c>
      <c r="E12" s="307">
        <v>0</v>
      </c>
      <c r="F12" s="307">
        <v>100</v>
      </c>
      <c r="G12" s="262">
        <v>0</v>
      </c>
      <c r="H12" s="307">
        <v>1.8</v>
      </c>
      <c r="I12" s="262"/>
      <c r="J12" s="262">
        <v>0</v>
      </c>
      <c r="K12" s="338">
        <v>120</v>
      </c>
      <c r="L12" s="59">
        <f>K12/Projektspecifikt!$B$8</f>
        <v>1.8461538461538463</v>
      </c>
      <c r="M12" s="339">
        <v>0</v>
      </c>
      <c r="N12" s="262"/>
      <c r="O12" s="262">
        <v>100</v>
      </c>
      <c r="P12" s="262"/>
      <c r="Q12" s="262"/>
      <c r="R12" s="262"/>
      <c r="S12" s="262"/>
      <c r="T12" s="262"/>
      <c r="U12" s="262"/>
      <c r="V12" s="262"/>
      <c r="W12" s="262"/>
      <c r="X12" s="262"/>
      <c r="Y12" s="262"/>
      <c r="Z12" s="233">
        <f>IF(SUM(N12:Y12)=100,SUM(N12:Y12),"FEL")</f>
        <v>100</v>
      </c>
      <c r="AA12" s="261">
        <f>'Gods UA1'!Y6</f>
        <v>20</v>
      </c>
      <c r="AB12" s="261">
        <f>'Gods UA1'!Z6</f>
        <v>10</v>
      </c>
      <c r="AC12" s="261">
        <f>'Gods UA1'!AA6</f>
        <v>55</v>
      </c>
      <c r="AD12" s="261">
        <v>0</v>
      </c>
      <c r="AE12" s="275">
        <f>IF(AD12=0,(('Kalkylvärden 1'!$D$97+AA12*('Kalkylvärden 1'!$D$98*(1-'Gods UA2'!AC12/100)+'Kalkylvärden 1'!$D$99*'Gods UA2'!AC12/100)+AB12*('Kalkylvärden 1'!$D$100*(1-'Gods UA2'!AC12/100)+'Kalkylvärden 1'!$D$101*'Gods UA2'!AC12/100))*E12/(E12+F12)+('Kalkylvärden 1'!$E$97+AA12*('Kalkylvärden 1'!$E$98*(1-'Gods UA2'!AC12/100)+'Kalkylvärden 1'!$E$99*'Gods UA2'!AC12/100)+AB12*('Kalkylvärden 1'!$E$100*(1-'Gods UA2'!AC12/100)+'Kalkylvärden 1'!$E$101*'Gods UA2'!AC12/100))*F12/(E12+F12)),((AA12+AB12)/('Kalkylvärden 1'!$H$98+'Kalkylvärden 1'!$H$99)*'Kalkylvärden 1'!$G$102))</f>
        <v>82.924148160000001</v>
      </c>
      <c r="AF12" s="315">
        <f>IF(AD12=0,('Kalkylvärden 1'!$D$103+AA12*'Kalkylvärden 1'!$D$104+'Gods UA2'!AB12*'Kalkylvärden 1'!$D$105),((AA12+AB12)/('Kalkylvärden 1'!$H$98+'Kalkylvärden 1'!$H$99)*'Kalkylvärden 1'!$G$105))</f>
        <v>54.767843200000002</v>
      </c>
      <c r="AG12" s="315">
        <f t="shared" ref="AG12:AG41" si="0">AE12*(E12+F12)*2</f>
        <v>16584.829632000001</v>
      </c>
      <c r="AH12" s="315">
        <f>(AF12*(H12+J12)*60*2)+(AF12*G12*'Kalkylvärden 1'!$G$9*2)+(J12*'Kalkylvärden 1'!$G$10*'Kalkylvärden 1'!$M$100)</f>
        <v>11829.8541312</v>
      </c>
      <c r="AI12" s="315">
        <f>AG12+AH12</f>
        <v>28414.683763200002</v>
      </c>
      <c r="AJ12" s="315">
        <f t="shared" ref="AJ12:AJ41" si="1">AI12*C12</f>
        <v>2841468.3763200003</v>
      </c>
      <c r="AK12" s="315">
        <f>(-B12*(E12+F12)*2*'Kalkylvärden 1'!$A$184)</f>
        <v>140000</v>
      </c>
      <c r="AL12" s="315">
        <f>(-B12*(E12+F12)*2*'Kalkylvärden 1'!$A$186)</f>
        <v>10363.731796676813</v>
      </c>
      <c r="AM12" s="315">
        <f>(-B12*F12*2*'Kalkylvärden 1'!$A$188)</f>
        <v>932616.71696986747</v>
      </c>
      <c r="AN12" s="315">
        <f>IF(K12&lt;=0,0,((B12*K12*2)/Projektspecifikt!$B$7*'Kalkylvärden 1'!$A$180))</f>
        <v>-1342501.5090960232</v>
      </c>
      <c r="AO12" s="315">
        <f>IF(AS12&lt;=0,0,(B12*K12*2)/Projektspecifikt!$B$7*'Kalkylvärden 1'!$A$182)</f>
        <v>-1086666.6666666667</v>
      </c>
      <c r="AP12" s="315">
        <f>AN12+AL12+AK12+AM12</f>
        <v>-259521.06032947893</v>
      </c>
      <c r="AQ12" s="275">
        <f>(E12+F12)*B12</f>
        <v>2000000</v>
      </c>
      <c r="AR12" s="275">
        <f>K12*B12</f>
        <v>2400000</v>
      </c>
      <c r="AS12" s="332">
        <f>('Gods UA2'!K12/Projektspecifikt!$B$8)*B12:B41</f>
        <v>36923.076923076922</v>
      </c>
      <c r="AT12" s="275">
        <f>(H12+(G12*'Kalkylvärden 1'!$G$9/60)+J12)*B12:B41</f>
        <v>36000</v>
      </c>
      <c r="AU12" s="275">
        <f t="shared" ref="AU12:AU41" si="2">AJ12</f>
        <v>2841468.3763200003</v>
      </c>
      <c r="AV12" s="275">
        <f>IF(AR12&lt;=0,AU12,((AR12*'Kalkylvärden 1'!$A$112)+(AS12*'Kalkylvärden 1'!$A$114)+B12*M12*'Kalkylvärden 1'!D11))</f>
        <v>1426813.3381485497</v>
      </c>
      <c r="AW12" s="275">
        <f>(B12*(H12+J12+(G12*'Kalkylvärden 1'!$G$9/60)))*((N12/100*'Kalkylvärden 1'!$B$195)+(O12/100*'Kalkylvärden 1'!$B$196)+(P12/100*'Kalkylvärden 1'!$B$197)+(Q12/100*'Kalkylvärden 1'!$B$198)+(R12/100*'Kalkylvärden 1'!$B$199)+(S12/100*'Kalkylvärden 1'!$B$200)+('Gods UA2'!T12/100*'Kalkylvärden 1'!$B$201)+('Gods UA2'!U12/100*'Kalkylvärden 1'!$B$202)+('Gods UA2'!V12/100*'Kalkylvärden 1'!$B$203)+('Gods UA2'!W12/100*'Kalkylvärden 1'!$B$204)+('Gods UA2'!X12/100*'Kalkylvärden 1'!$B$205)+('Gods UA2'!Y12/100*'Kalkylvärden 1'!$B$206))</f>
        <v>2526.48</v>
      </c>
      <c r="AX12" s="275">
        <f>IF(AR12&lt;=0,AW12,(B12*(K12)/Projektspecifikt!$B$8)*((N12/100*'Kalkylvärden 1'!$B$195)+('Gods UA2'!O12/100*'Kalkylvärden 1'!$B$196)+('Gods UA2'!P12/100*'Kalkylvärden 1'!$B$197)+('Gods UA2'!Q12/100*'Kalkylvärden 1'!$B$198)+('Gods UA2'!R12/100*'Kalkylvärden 1'!$B$199)+('Gods UA2'!S12/100*'Kalkylvärden 1'!$B$200)+('Gods UA2'!T12/100*'Kalkylvärden 1'!$B$201)+('Gods UA2'!U12/100*'Kalkylvärden 1'!$B$202)+('Gods UA2'!V12/100*'Kalkylvärden 1'!$B$203)+('Gods UA2'!W12/100*'Kalkylvärden 1'!$B$204)+('Gods UA2'!X12/100*'Kalkylvärden 1'!$B$205)+('Gods UA2'!Y12/100*'Kalkylvärden 1'!$B$206)))</f>
        <v>2591.2615384615387</v>
      </c>
      <c r="AY12"/>
      <c r="BB12" s="144"/>
      <c r="BC12" s="144"/>
      <c r="BD12" s="275"/>
      <c r="BE12" s="275"/>
      <c r="BF12" s="275"/>
      <c r="BG12" s="275"/>
      <c r="BH12" s="203"/>
      <c r="BI12" s="275"/>
      <c r="BJ12" s="275"/>
      <c r="BK12" s="275"/>
      <c r="BL12" s="275"/>
      <c r="BM12" s="275"/>
      <c r="BN12" s="1"/>
      <c r="BQ12"/>
      <c r="BR12" s="1"/>
      <c r="BS12"/>
      <c r="BT12" s="1"/>
      <c r="BU12"/>
      <c r="BW12" s="275"/>
      <c r="BY12" s="1"/>
    </row>
    <row r="13" spans="1:77" x14ac:dyDescent="0.25">
      <c r="A13" s="238" t="s">
        <v>617</v>
      </c>
      <c r="B13" s="262">
        <v>0</v>
      </c>
      <c r="C13" s="262">
        <v>0</v>
      </c>
      <c r="D13" s="239" t="e">
        <f t="shared" ref="D13:D41" si="3">B13/C13</f>
        <v>#DIV/0!</v>
      </c>
      <c r="E13" s="307">
        <v>0</v>
      </c>
      <c r="F13" s="307">
        <v>0</v>
      </c>
      <c r="G13" s="262"/>
      <c r="H13" s="307"/>
      <c r="I13" s="262"/>
      <c r="J13" s="262"/>
      <c r="K13" s="338"/>
      <c r="L13" s="59">
        <f>K13/Projektspecifikt!$B$8</f>
        <v>0</v>
      </c>
      <c r="M13" s="339"/>
      <c r="N13" s="262"/>
      <c r="O13" s="262"/>
      <c r="P13" s="262"/>
      <c r="Q13" s="262"/>
      <c r="R13" s="262"/>
      <c r="S13" s="262"/>
      <c r="T13" s="262"/>
      <c r="U13" s="262"/>
      <c r="V13" s="262"/>
      <c r="W13" s="262"/>
      <c r="X13" s="262"/>
      <c r="Y13" s="262"/>
      <c r="Z13" s="233" t="str">
        <f t="shared" ref="Z13:Z41" si="4">IF(SUM(N13:Y13)=100,SUM(N13:Y13),"FEL")</f>
        <v>FEL</v>
      </c>
      <c r="AA13" s="261">
        <f>'Gods UA1'!Y7</f>
        <v>20</v>
      </c>
      <c r="AB13" s="261">
        <f>'Gods UA1'!Z7</f>
        <v>10</v>
      </c>
      <c r="AC13" s="261">
        <f>'Gods UA1'!AA7</f>
        <v>50</v>
      </c>
      <c r="AD13" s="261">
        <v>0</v>
      </c>
      <c r="AE13" s="275" t="e">
        <f>IF(AD13=0,(('Kalkylvärden 1'!$D$97+AA13*('Kalkylvärden 1'!$D$98*(1-'Gods UA2'!AC13/100)+'Kalkylvärden 1'!$D$99*'Gods UA2'!AC13/100)+AB13*('Kalkylvärden 1'!$D$100*(1-'Gods UA2'!AC13/100)+'Kalkylvärden 1'!$D$101*'Gods UA2'!AC13/100))*E13/(E13+F13)+('Kalkylvärden 1'!$E$97+AA13*('Kalkylvärden 1'!$E$98*(1-'Gods UA2'!AC13/100)+'Kalkylvärden 1'!$E$99*'Gods UA2'!AC13/100)+AB13*('Kalkylvärden 1'!$E$100*(1-'Gods UA2'!AC13/100)+'Kalkylvärden 1'!$E$101*'Gods UA2'!AC13/100))*F13/(E13+F13)),((AA13+AB13)/('Kalkylvärden 1'!$H$98+'Kalkylvärden 1'!$H$99)*'Kalkylvärden 1'!$G$102))</f>
        <v>#DIV/0!</v>
      </c>
      <c r="AF13" s="361">
        <f>IF(AD13=0,('Kalkylvärden 1'!$D$103+AA13*'Kalkylvärden 1'!$D$104+'Gods UA2'!AB13*'Kalkylvärden 1'!$D$105),((AA13+AB13)/('Kalkylvärden 1'!$H$98+'Kalkylvärden 1'!$H$99)*'Kalkylvärden 1'!$G$105))</f>
        <v>54.767843200000002</v>
      </c>
      <c r="AG13" s="275" t="e">
        <f t="shared" si="0"/>
        <v>#DIV/0!</v>
      </c>
      <c r="AH13" s="275" t="e">
        <f>(AF13*(H13+J13)*60*2)+(AF13*G13*'Kalkylvärden 1'!$G$9*2)+(J13*'Kalkylvärden 1'!$G$10*'Kalkylvärden 1'!$M$100)+(M13*'Kalkylvärden 1'!$D$11*B13/C13)</f>
        <v>#DIV/0!</v>
      </c>
      <c r="AI13" s="275" t="e">
        <f t="shared" ref="AI13:AI41" si="5">AG13+AH13</f>
        <v>#DIV/0!</v>
      </c>
      <c r="AJ13" s="275" t="e">
        <f t="shared" si="1"/>
        <v>#DIV/0!</v>
      </c>
      <c r="AK13" s="275">
        <f>(-B13*(E13+F13)*2*'Kalkylvärden 1'!$A$184)</f>
        <v>0</v>
      </c>
      <c r="AL13" s="275">
        <f>(-B13*(E13+F13)*2*'Kalkylvärden 1'!$A$186)</f>
        <v>0</v>
      </c>
      <c r="AM13" s="275">
        <f>(-B13*F13*2*'Kalkylvärden 1'!$A$188)</f>
        <v>0</v>
      </c>
      <c r="AN13" s="336">
        <f>IF(K13&lt;=0,0,((B13*K13*2)/Projektspecifikt!$B$7*'Kalkylvärden 1'!$A$180))</f>
        <v>0</v>
      </c>
      <c r="AO13" s="336">
        <f>IF(AS13&lt;=0,0,(B13*K13*2)/Projektspecifikt!$B$7*'Kalkylvärden 1'!$A$182)</f>
        <v>0</v>
      </c>
      <c r="AP13" s="336">
        <f t="shared" ref="AP13:AP41" si="6">AN13+AL13+AK13+AM13</f>
        <v>0</v>
      </c>
      <c r="AQ13" s="275">
        <f t="shared" ref="AQ13:AQ41" si="7">(E13+F13)*B13</f>
        <v>0</v>
      </c>
      <c r="AR13" s="275">
        <f t="shared" ref="AR13:AR41" si="8">K13*B13</f>
        <v>0</v>
      </c>
      <c r="AS13" s="332">
        <f>('Gods UA2'!K13/Projektspecifikt!$B$8)*B13:B42</f>
        <v>0</v>
      </c>
      <c r="AT13" s="275">
        <f>(H13+(G13*'Kalkylvärden 1'!$G$9/60)+J13)*B13:B42</f>
        <v>0</v>
      </c>
      <c r="AU13" s="275" t="e">
        <f t="shared" si="2"/>
        <v>#DIV/0!</v>
      </c>
      <c r="AV13" s="275" t="e">
        <f>IF(AR13&lt;=0,AU13,((AR13*'Kalkylvärden 1'!$A$112)+(AS13*'Kalkylvärden 1'!$A$114)))</f>
        <v>#DIV/0!</v>
      </c>
      <c r="AW13" s="275">
        <f>(B13*(H13+J13+(G13*'Kalkylvärden 1'!$G$9/60)))*((N13/100*'Kalkylvärden 1'!$B$195)+(O13/100*'Kalkylvärden 1'!$B$196)+(P13/100*'Kalkylvärden 1'!$B$197)+(Q13/100*'Kalkylvärden 1'!$B$198)+(R13/100*'Kalkylvärden 1'!$B$199)+(S13/100*'Kalkylvärden 1'!$B$200)+('Gods UA2'!T13/100*'Kalkylvärden 1'!$B$201)+('Gods UA2'!U13/100*'Kalkylvärden 1'!$B$202)+('Gods UA2'!V13/100*'Kalkylvärden 1'!$B$203)+('Gods UA2'!W13/100*'Kalkylvärden 1'!$B$204)+('Gods UA2'!X13/100*'Kalkylvärden 1'!$B$205)+('Gods UA2'!Y13/100*'Kalkylvärden 1'!$B$206))</f>
        <v>0</v>
      </c>
      <c r="AX13" s="275">
        <f>IF(AR13&lt;=0,AW13,(B13*(K13)/Projektspecifikt!$B$8)*((N13/100*'Kalkylvärden 1'!$B$195)+('Gods UA2'!O13/100*'Kalkylvärden 1'!$B$196)+('Gods UA2'!P13/100*'Kalkylvärden 1'!$B$197)+('Gods UA2'!Q13/100*'Kalkylvärden 1'!$B$198)+('Gods UA2'!R13/100*'Kalkylvärden 1'!$B$199)+('Gods UA2'!S13/100*'Kalkylvärden 1'!$B$200)+('Gods UA2'!T13/100*'Kalkylvärden 1'!$B$201)+('Gods UA2'!U13/100*'Kalkylvärden 1'!$B$202)+('Gods UA2'!V13/100*'Kalkylvärden 1'!$B$203)+('Gods UA2'!W13/100*'Kalkylvärden 1'!$B$204)+('Gods UA2'!X13/100*'Kalkylvärden 1'!$B$205)+('Gods UA2'!Y13/100*'Kalkylvärden 1'!$B$206)))</f>
        <v>0</v>
      </c>
      <c r="AY13"/>
      <c r="BB13" s="144"/>
      <c r="BC13" s="144"/>
      <c r="BD13" s="275"/>
      <c r="BE13" s="275"/>
      <c r="BF13" s="275"/>
      <c r="BG13" s="275"/>
      <c r="BH13" s="203"/>
      <c r="BI13" s="275"/>
      <c r="BJ13" s="275"/>
      <c r="BK13" s="275"/>
      <c r="BL13" s="275"/>
      <c r="BM13" s="275"/>
      <c r="BN13" s="1"/>
      <c r="BQ13"/>
      <c r="BR13" s="1"/>
      <c r="BS13"/>
      <c r="BT13" s="1"/>
      <c r="BU13"/>
      <c r="BW13" s="275"/>
      <c r="BY13" s="1"/>
    </row>
    <row r="14" spans="1:77" ht="30" x14ac:dyDescent="0.25">
      <c r="A14" s="238" t="str">
        <f>'[1]UA1 Gods'!A17</f>
        <v>Från A till B från bandelen till målpunkt</v>
      </c>
      <c r="B14" s="262"/>
      <c r="C14" s="262"/>
      <c r="D14" s="239" t="e">
        <f t="shared" si="3"/>
        <v>#DIV/0!</v>
      </c>
      <c r="E14" s="307"/>
      <c r="F14" s="307"/>
      <c r="G14" s="262"/>
      <c r="H14" s="307"/>
      <c r="I14" s="262"/>
      <c r="J14" s="262"/>
      <c r="K14" s="338"/>
      <c r="L14" s="59">
        <f>K14/Projektspecifikt!$B$8</f>
        <v>0</v>
      </c>
      <c r="M14" s="339"/>
      <c r="N14" s="262"/>
      <c r="O14" s="262"/>
      <c r="P14" s="262"/>
      <c r="Q14" s="262"/>
      <c r="R14" s="262"/>
      <c r="S14" s="262"/>
      <c r="T14" s="262"/>
      <c r="U14" s="262"/>
      <c r="V14" s="262"/>
      <c r="W14" s="262"/>
      <c r="X14" s="262"/>
      <c r="Y14" s="262"/>
      <c r="Z14" s="233" t="str">
        <f t="shared" si="4"/>
        <v>FEL</v>
      </c>
      <c r="AA14" s="261">
        <f>'Gods UA1'!Y8</f>
        <v>20</v>
      </c>
      <c r="AB14" s="261">
        <f>'Gods UA1'!Z8</f>
        <v>10</v>
      </c>
      <c r="AC14" s="261">
        <f>'Gods UA1'!AA8</f>
        <v>50</v>
      </c>
      <c r="AD14" s="261">
        <v>0</v>
      </c>
      <c r="AE14" s="275" t="e">
        <f>IF(AD14=0,(('Kalkylvärden 1'!$D$97+AA14*('Kalkylvärden 1'!$D$98*(1-'Gods UA2'!AC14/100)+'Kalkylvärden 1'!$D$99*'Gods UA2'!AC14/100)+AB14*('Kalkylvärden 1'!$D$100*(1-'Gods UA2'!AC14/100)+'Kalkylvärden 1'!$D$101*'Gods UA2'!AC14/100))*E14/(E14+F14)+('Kalkylvärden 1'!$E$97+AA14*('Kalkylvärden 1'!$E$98*(1-'Gods UA2'!AC14/100)+'Kalkylvärden 1'!$E$99*'Gods UA2'!AC14/100)+AB14*('Kalkylvärden 1'!$E$100*(1-'Gods UA2'!AC14/100)+'Kalkylvärden 1'!$E$101*'Gods UA2'!AC14/100))*F14/(E14+F14)),((AA14+AB14)/('Kalkylvärden 1'!$H$98+'Kalkylvärden 1'!$H$99)*'Kalkylvärden 1'!$G$102))</f>
        <v>#DIV/0!</v>
      </c>
      <c r="AF14" s="361">
        <f>IF(AD14=0,('Kalkylvärden 1'!$D$103+AA14*'Kalkylvärden 1'!$D$104+'Gods UA2'!AB14*'Kalkylvärden 1'!$D$105),((AA14+AB14)/('Kalkylvärden 1'!$H$98+'Kalkylvärden 1'!$H$99)*'Kalkylvärden 1'!$G$105))</f>
        <v>54.767843200000002</v>
      </c>
      <c r="AG14" s="275" t="e">
        <f t="shared" si="0"/>
        <v>#DIV/0!</v>
      </c>
      <c r="AH14" s="275" t="e">
        <f>(AF14*(H14+J14)*60*2)+(AF14*G14*'Kalkylvärden 1'!$G$9*2)+(J14*'Kalkylvärden 1'!$G$10*'Kalkylvärden 1'!$M$100)+(M14*'Kalkylvärden 1'!$D$11*B14/C14)</f>
        <v>#DIV/0!</v>
      </c>
      <c r="AI14" s="275" t="e">
        <f t="shared" si="5"/>
        <v>#DIV/0!</v>
      </c>
      <c r="AJ14" s="275" t="e">
        <f t="shared" si="1"/>
        <v>#DIV/0!</v>
      </c>
      <c r="AK14" s="275">
        <f>(-B14*(E14+F14)*2*'Kalkylvärden 1'!$A$184)</f>
        <v>0</v>
      </c>
      <c r="AL14" s="275">
        <f>(-B14*(E14+F14)*2*'Kalkylvärden 1'!$A$186)</f>
        <v>0</v>
      </c>
      <c r="AM14" s="275">
        <f>(-B14*F14*2*'Kalkylvärden 1'!$A$188)</f>
        <v>0</v>
      </c>
      <c r="AN14" s="336">
        <f>IF(K14&lt;=0,0,((B14*K14*2)/Projektspecifikt!$B$7*'Kalkylvärden 1'!$A$180))</f>
        <v>0</v>
      </c>
      <c r="AO14" s="336">
        <f>IF(AS14&lt;=0,0,(B14*K14*2)/Projektspecifikt!$B$7*'Kalkylvärden 1'!$A$182)</f>
        <v>0</v>
      </c>
      <c r="AP14" s="336">
        <f t="shared" si="6"/>
        <v>0</v>
      </c>
      <c r="AQ14" s="275">
        <f t="shared" si="7"/>
        <v>0</v>
      </c>
      <c r="AR14" s="275">
        <f t="shared" si="8"/>
        <v>0</v>
      </c>
      <c r="AS14" s="332">
        <f>('Gods UA2'!K14/Projektspecifikt!$B$8)*B14:B43</f>
        <v>0</v>
      </c>
      <c r="AT14" s="275">
        <f>(H14+(G14*'Kalkylvärden 1'!$G$9/60)+J14)*B14:B43</f>
        <v>0</v>
      </c>
      <c r="AU14" s="275" t="e">
        <f t="shared" si="2"/>
        <v>#DIV/0!</v>
      </c>
      <c r="AV14" s="275" t="e">
        <f>IF(AR14&lt;=0,AU14,((AR14*'Kalkylvärden 1'!$A$112)+(AS14*'Kalkylvärden 1'!$A$114)))</f>
        <v>#DIV/0!</v>
      </c>
      <c r="AW14" s="275">
        <f>(B14*(H14+J14+(G14*'Kalkylvärden 1'!$G$9/60)))*((N14/100*'Kalkylvärden 1'!$B$195)+(O14/100*'Kalkylvärden 1'!$B$196)+(P14/100*'Kalkylvärden 1'!$B$197)+(Q14/100*'Kalkylvärden 1'!$B$198)+(R14/100*'Kalkylvärden 1'!$B$199)+(S14/100*'Kalkylvärden 1'!$B$200)+('Gods UA2'!T14/100*'Kalkylvärden 1'!$B$201)+('Gods UA2'!U14/100*'Kalkylvärden 1'!$B$202)+('Gods UA2'!V14/100*'Kalkylvärden 1'!$B$203)+('Gods UA2'!W14/100*'Kalkylvärden 1'!$B$204)+('Gods UA2'!X14/100*'Kalkylvärden 1'!$B$205)+('Gods UA2'!Y14/100*'Kalkylvärden 1'!$B$206))</f>
        <v>0</v>
      </c>
      <c r="AX14" s="275">
        <f>IF(AR14&lt;=0,AW14,(B14*(K14)/Projektspecifikt!$B$8)*((N14/100*'Kalkylvärden 1'!$B$195)+('Gods UA2'!O14/100*'Kalkylvärden 1'!$B$196)+('Gods UA2'!P14/100*'Kalkylvärden 1'!$B$197)+('Gods UA2'!Q14/100*'Kalkylvärden 1'!$B$198)+('Gods UA2'!R14/100*'Kalkylvärden 1'!$B$199)+('Gods UA2'!S14/100*'Kalkylvärden 1'!$B$200)+('Gods UA2'!T14/100*'Kalkylvärden 1'!$B$201)+('Gods UA2'!U14/100*'Kalkylvärden 1'!$B$202)+('Gods UA2'!V14/100*'Kalkylvärden 1'!$B$203)+('Gods UA2'!W14/100*'Kalkylvärden 1'!$B$204)+('Gods UA2'!X14/100*'Kalkylvärden 1'!$B$205)+('Gods UA2'!Y14/100*'Kalkylvärden 1'!$B$206)))</f>
        <v>0</v>
      </c>
      <c r="AY14"/>
      <c r="BB14" s="144"/>
      <c r="BC14" s="144"/>
      <c r="BD14" s="275"/>
      <c r="BE14" s="275"/>
      <c r="BF14" s="275"/>
      <c r="BG14" s="275"/>
      <c r="BH14" s="203"/>
      <c r="BI14" s="275"/>
      <c r="BJ14" s="275"/>
      <c r="BK14" s="275"/>
      <c r="BL14" s="275"/>
      <c r="BM14" s="275"/>
      <c r="BN14" s="1"/>
      <c r="BQ14"/>
      <c r="BR14" s="1"/>
      <c r="BS14"/>
      <c r="BT14" s="1"/>
      <c r="BU14"/>
      <c r="BW14" s="275"/>
      <c r="BY14" s="1"/>
    </row>
    <row r="15" spans="1:77" ht="30" x14ac:dyDescent="0.25">
      <c r="A15" s="238" t="str">
        <f>'[1]UA1 Gods'!A18</f>
        <v>Från A till B från bandelen till målpunkt</v>
      </c>
      <c r="B15" s="262"/>
      <c r="C15" s="262"/>
      <c r="D15" s="239" t="e">
        <f t="shared" si="3"/>
        <v>#DIV/0!</v>
      </c>
      <c r="E15" s="307"/>
      <c r="F15" s="307"/>
      <c r="G15" s="262"/>
      <c r="H15" s="307"/>
      <c r="I15" s="262"/>
      <c r="J15" s="262"/>
      <c r="K15" s="338"/>
      <c r="L15" s="59">
        <f>K15/Projektspecifikt!$B$8</f>
        <v>0</v>
      </c>
      <c r="M15" s="339"/>
      <c r="N15" s="262"/>
      <c r="O15" s="262"/>
      <c r="P15" s="262"/>
      <c r="Q15" s="262"/>
      <c r="R15" s="262"/>
      <c r="S15" s="262"/>
      <c r="T15" s="262"/>
      <c r="U15" s="262"/>
      <c r="V15" s="262"/>
      <c r="W15" s="262"/>
      <c r="X15" s="262"/>
      <c r="Y15" s="262"/>
      <c r="Z15" s="233" t="str">
        <f t="shared" si="4"/>
        <v>FEL</v>
      </c>
      <c r="AA15" s="261">
        <f>'Gods UA1'!Y9</f>
        <v>20</v>
      </c>
      <c r="AB15" s="261">
        <f>'Gods UA1'!Z9</f>
        <v>10</v>
      </c>
      <c r="AC15" s="261">
        <f>'Gods UA1'!AA9</f>
        <v>50</v>
      </c>
      <c r="AD15" s="261">
        <v>0</v>
      </c>
      <c r="AE15" s="275" t="e">
        <f>IF(AD15=0,(('Kalkylvärden 1'!$D$97+AA15*('Kalkylvärden 1'!$D$98*(1-'Gods UA2'!AC15/100)+'Kalkylvärden 1'!$D$99*'Gods UA2'!AC15/100)+AB15*('Kalkylvärden 1'!$D$100*(1-'Gods UA2'!AC15/100)+'Kalkylvärden 1'!$D$101*'Gods UA2'!AC15/100))*E15/(E15+F15)+('Kalkylvärden 1'!$E$97+AA15*('Kalkylvärden 1'!$E$98*(1-'Gods UA2'!AC15/100)+'Kalkylvärden 1'!$E$99*'Gods UA2'!AC15/100)+AB15*('Kalkylvärden 1'!$E$100*(1-'Gods UA2'!AC15/100)+'Kalkylvärden 1'!$E$101*'Gods UA2'!AC15/100))*F15/(E15+F15)),((AA15+AB15)/('Kalkylvärden 1'!$H$98+'Kalkylvärden 1'!$H$99)*'Kalkylvärden 1'!$G$102))</f>
        <v>#DIV/0!</v>
      </c>
      <c r="AF15" s="361">
        <f>IF(AD15=0,('Kalkylvärden 1'!$D$103+AA15*'Kalkylvärden 1'!$D$104+'Gods UA2'!AB15*'Kalkylvärden 1'!$D$105),((AA15+AB15)/('Kalkylvärden 1'!$H$98+'Kalkylvärden 1'!$H$99)*'Kalkylvärden 1'!$G$105))</f>
        <v>54.767843200000002</v>
      </c>
      <c r="AG15" s="275" t="e">
        <f t="shared" si="0"/>
        <v>#DIV/0!</v>
      </c>
      <c r="AH15" s="275" t="e">
        <f>(AF15*(H15+J15)*60*2)+(AF15*G15*'Kalkylvärden 1'!$G$9*2)+(J15*'Kalkylvärden 1'!$G$10*'Kalkylvärden 1'!$M$100)+(M15*'Kalkylvärden 1'!$D$11*B15/C15)</f>
        <v>#DIV/0!</v>
      </c>
      <c r="AI15" s="275" t="e">
        <f t="shared" si="5"/>
        <v>#DIV/0!</v>
      </c>
      <c r="AJ15" s="275" t="e">
        <f t="shared" si="1"/>
        <v>#DIV/0!</v>
      </c>
      <c r="AK15" s="275">
        <f>(-B15*(E15+F15)*2*'Kalkylvärden 1'!$A$184)</f>
        <v>0</v>
      </c>
      <c r="AL15" s="275">
        <f>(-B15*(E15+F15)*2*'Kalkylvärden 1'!$A$186)</f>
        <v>0</v>
      </c>
      <c r="AM15" s="275">
        <f>(-B15*F15*2*'Kalkylvärden 1'!$A$188)</f>
        <v>0</v>
      </c>
      <c r="AN15" s="336">
        <f>IF(K15&lt;=0,0,((B15*K15*2)/Projektspecifikt!$B$7*'Kalkylvärden 1'!$A$180))</f>
        <v>0</v>
      </c>
      <c r="AO15" s="336">
        <f>IF(AS15&lt;=0,0,(B15*K15*2)/Projektspecifikt!$B$7*'Kalkylvärden 1'!$A$182)</f>
        <v>0</v>
      </c>
      <c r="AP15" s="336">
        <f t="shared" si="6"/>
        <v>0</v>
      </c>
      <c r="AQ15" s="275">
        <f t="shared" si="7"/>
        <v>0</v>
      </c>
      <c r="AR15" s="275">
        <f t="shared" si="8"/>
        <v>0</v>
      </c>
      <c r="AS15" s="332">
        <f>('Gods UA2'!K15/Projektspecifikt!$B$8)*B15:B44</f>
        <v>0</v>
      </c>
      <c r="AT15" s="275">
        <f>(H15+(G15*'Kalkylvärden 1'!$G$9/60)+J15)*B15:B44</f>
        <v>0</v>
      </c>
      <c r="AU15" s="275" t="e">
        <f t="shared" si="2"/>
        <v>#DIV/0!</v>
      </c>
      <c r="AV15" s="275" t="e">
        <f>IF(AR15&lt;=0,AU15,((AR15*'Kalkylvärden 1'!$A$112)+(AS15*'Kalkylvärden 1'!$A$114)))</f>
        <v>#DIV/0!</v>
      </c>
      <c r="AW15" s="275">
        <f>(B15*(H15+J15+(G15*'Kalkylvärden 1'!$G$9/60)))*((N15/100*'Kalkylvärden 1'!$B$195)+(O15/100*'Kalkylvärden 1'!$B$196)+(P15/100*'Kalkylvärden 1'!$B$197)+(Q15/100*'Kalkylvärden 1'!$B$198)+(R15/100*'Kalkylvärden 1'!$B$199)+(S15/100*'Kalkylvärden 1'!$B$200)+('Gods UA2'!T15/100*'Kalkylvärden 1'!$B$201)+('Gods UA2'!U15/100*'Kalkylvärden 1'!$B$202)+('Gods UA2'!V15/100*'Kalkylvärden 1'!$B$203)+('Gods UA2'!W15/100*'Kalkylvärden 1'!$B$204)+('Gods UA2'!X15/100*'Kalkylvärden 1'!$B$205)+('Gods UA2'!Y15/100*'Kalkylvärden 1'!$B$206))</f>
        <v>0</v>
      </c>
      <c r="AX15" s="275">
        <f>IF(AR15&lt;=0,AW15,(B15*(K15)/Projektspecifikt!$B$8)*((N15/100*'Kalkylvärden 1'!$B$195)+('Gods UA2'!O15/100*'Kalkylvärden 1'!$B$196)+('Gods UA2'!P15/100*'Kalkylvärden 1'!$B$197)+('Gods UA2'!Q15/100*'Kalkylvärden 1'!$B$198)+('Gods UA2'!R15/100*'Kalkylvärden 1'!$B$199)+('Gods UA2'!S15/100*'Kalkylvärden 1'!$B$200)+('Gods UA2'!T15/100*'Kalkylvärden 1'!$B$201)+('Gods UA2'!U15/100*'Kalkylvärden 1'!$B$202)+('Gods UA2'!V15/100*'Kalkylvärden 1'!$B$203)+('Gods UA2'!W15/100*'Kalkylvärden 1'!$B$204)+('Gods UA2'!X15/100*'Kalkylvärden 1'!$B$205)+('Gods UA2'!Y15/100*'Kalkylvärden 1'!$B$206)))</f>
        <v>0</v>
      </c>
      <c r="AY15"/>
      <c r="AZ15" s="259"/>
      <c r="BB15" s="144"/>
      <c r="BC15" s="144"/>
      <c r="BD15" s="275"/>
      <c r="BE15" s="275"/>
      <c r="BF15" s="275"/>
      <c r="BG15" s="275"/>
      <c r="BH15" s="203"/>
      <c r="BI15" s="275"/>
      <c r="BJ15" s="275"/>
      <c r="BK15" s="275"/>
      <c r="BL15" s="275"/>
      <c r="BM15" s="275"/>
      <c r="BN15" s="1"/>
      <c r="BQ15"/>
      <c r="BR15" s="1"/>
      <c r="BS15"/>
      <c r="BT15" s="1"/>
      <c r="BU15"/>
      <c r="BW15" s="275"/>
      <c r="BY15" s="1"/>
    </row>
    <row r="16" spans="1:77" ht="30" x14ac:dyDescent="0.25">
      <c r="A16" s="238" t="str">
        <f>'[1]UA1 Gods'!A19</f>
        <v>Från A till B från bandelen till målpunkt</v>
      </c>
      <c r="B16" s="262"/>
      <c r="C16" s="262"/>
      <c r="D16" s="239" t="e">
        <f t="shared" si="3"/>
        <v>#DIV/0!</v>
      </c>
      <c r="E16" s="307"/>
      <c r="F16" s="307"/>
      <c r="G16" s="262"/>
      <c r="H16" s="307"/>
      <c r="I16" s="262"/>
      <c r="J16" s="262"/>
      <c r="K16" s="338"/>
      <c r="L16" s="59">
        <f>K16/Projektspecifikt!$B$8</f>
        <v>0</v>
      </c>
      <c r="M16" s="339"/>
      <c r="N16" s="262"/>
      <c r="O16" s="262"/>
      <c r="P16" s="262"/>
      <c r="Q16" s="262"/>
      <c r="R16" s="262"/>
      <c r="S16" s="262"/>
      <c r="T16" s="262"/>
      <c r="U16" s="262"/>
      <c r="V16" s="262"/>
      <c r="W16" s="262"/>
      <c r="X16" s="262"/>
      <c r="Y16" s="262"/>
      <c r="Z16" s="233" t="str">
        <f t="shared" si="4"/>
        <v>FEL</v>
      </c>
      <c r="AA16" s="261">
        <f>'Gods UA1'!Y10</f>
        <v>20</v>
      </c>
      <c r="AB16" s="261">
        <f>'Gods UA1'!Z10</f>
        <v>10</v>
      </c>
      <c r="AC16" s="261">
        <f>'Gods UA1'!AA10</f>
        <v>50</v>
      </c>
      <c r="AD16" s="261">
        <v>0</v>
      </c>
      <c r="AE16" s="275" t="e">
        <f>IF(AD16=0,(('Kalkylvärden 1'!$D$97+AA16*('Kalkylvärden 1'!$D$98*(1-'Gods UA2'!AC16/100)+'Kalkylvärden 1'!$D$99*'Gods UA2'!AC16/100)+AB16*('Kalkylvärden 1'!$D$100*(1-'Gods UA2'!AC16/100)+'Kalkylvärden 1'!$D$101*'Gods UA2'!AC16/100))*E16/(E16+F16)+('Kalkylvärden 1'!$E$97+AA16*('Kalkylvärden 1'!$E$98*(1-'Gods UA2'!AC16/100)+'Kalkylvärden 1'!$E$99*'Gods UA2'!AC16/100)+AB16*('Kalkylvärden 1'!$E$100*(1-'Gods UA2'!AC16/100)+'Kalkylvärden 1'!$E$101*'Gods UA2'!AC16/100))*F16/(E16+F16)),((AA16+AB16)/('Kalkylvärden 1'!$H$98+'Kalkylvärden 1'!$H$99)*'Kalkylvärden 1'!$G$102))</f>
        <v>#DIV/0!</v>
      </c>
      <c r="AF16" s="361">
        <f>IF(AD16=0,('Kalkylvärden 1'!$D$103+AA16*'Kalkylvärden 1'!$D$104+'Gods UA2'!AB16*'Kalkylvärden 1'!$D$105),((AA16+AB16)/('Kalkylvärden 1'!$H$98+'Kalkylvärden 1'!$H$99)*'Kalkylvärden 1'!$G$105))</f>
        <v>54.767843200000002</v>
      </c>
      <c r="AG16" s="275" t="e">
        <f t="shared" si="0"/>
        <v>#DIV/0!</v>
      </c>
      <c r="AH16" s="275" t="e">
        <f>(AF16*(H16+J16)*60*2)+(AF16*G16*'Kalkylvärden 1'!$G$9*2)+(J16*'Kalkylvärden 1'!$G$10*'Kalkylvärden 1'!$M$100)+(M16*'Kalkylvärden 1'!$D$11*B16/C16)</f>
        <v>#DIV/0!</v>
      </c>
      <c r="AI16" s="275" t="e">
        <f t="shared" si="5"/>
        <v>#DIV/0!</v>
      </c>
      <c r="AJ16" s="275" t="e">
        <f t="shared" si="1"/>
        <v>#DIV/0!</v>
      </c>
      <c r="AK16" s="275">
        <f>(-B16*(E16+F16)*2*'Kalkylvärden 1'!$A$184)</f>
        <v>0</v>
      </c>
      <c r="AL16" s="275">
        <f>(-B16*(E16+F16)*2*'Kalkylvärden 1'!$A$186)</f>
        <v>0</v>
      </c>
      <c r="AM16" s="275">
        <f>(-B16*F16*2*'Kalkylvärden 1'!$A$188)</f>
        <v>0</v>
      </c>
      <c r="AN16" s="336">
        <f>IF(K16&lt;=0,0,((B16*K16*2)/Projektspecifikt!$B$7*'Kalkylvärden 1'!$A$180))</f>
        <v>0</v>
      </c>
      <c r="AO16" s="336">
        <f>IF(AS16&lt;=0,0,(B16*K16*2)/Projektspecifikt!$B$7*'Kalkylvärden 1'!$A$182)</f>
        <v>0</v>
      </c>
      <c r="AP16" s="336">
        <f t="shared" si="6"/>
        <v>0</v>
      </c>
      <c r="AQ16" s="275">
        <f t="shared" si="7"/>
        <v>0</v>
      </c>
      <c r="AR16" s="275">
        <f t="shared" si="8"/>
        <v>0</v>
      </c>
      <c r="AS16" s="332">
        <f>('Gods UA2'!K16/Projektspecifikt!$B$8)*B16:B45</f>
        <v>0</v>
      </c>
      <c r="AT16" s="275">
        <f>(H16+(G16*'Kalkylvärden 1'!$G$9/60)+J16)*B16:B45</f>
        <v>0</v>
      </c>
      <c r="AU16" s="275" t="e">
        <f t="shared" si="2"/>
        <v>#DIV/0!</v>
      </c>
      <c r="AV16" s="275" t="e">
        <f>IF(AR16&lt;=0,AU16,((AR16*'Kalkylvärden 1'!$A$112)+(AS16*'Kalkylvärden 1'!$A$114)))</f>
        <v>#DIV/0!</v>
      </c>
      <c r="AW16" s="275">
        <f>(B16*(H16+J16+(G16*'Kalkylvärden 1'!$G$9/60)))*((N16/100*'Kalkylvärden 1'!$B$195)+(O16/100*'Kalkylvärden 1'!$B$196)+(P16/100*'Kalkylvärden 1'!$B$197)+(Q16/100*'Kalkylvärden 1'!$B$198)+(R16/100*'Kalkylvärden 1'!$B$199)+(S16/100*'Kalkylvärden 1'!$B$200)+('Gods UA2'!T16/100*'Kalkylvärden 1'!$B$201)+('Gods UA2'!U16/100*'Kalkylvärden 1'!$B$202)+('Gods UA2'!V16/100*'Kalkylvärden 1'!$B$203)+('Gods UA2'!W16/100*'Kalkylvärden 1'!$B$204)+('Gods UA2'!X16/100*'Kalkylvärden 1'!$B$205)+('Gods UA2'!Y16/100*'Kalkylvärden 1'!$B$206))</f>
        <v>0</v>
      </c>
      <c r="AX16" s="275">
        <f>IF(AR16&lt;=0,AW16,(B16*(K16)/Projektspecifikt!$B$8)*((N16/100*'Kalkylvärden 1'!$B$195)+('Gods UA2'!O16/100*'Kalkylvärden 1'!$B$196)+('Gods UA2'!P16/100*'Kalkylvärden 1'!$B$197)+('Gods UA2'!Q16/100*'Kalkylvärden 1'!$B$198)+('Gods UA2'!R16/100*'Kalkylvärden 1'!$B$199)+('Gods UA2'!S16/100*'Kalkylvärden 1'!$B$200)+('Gods UA2'!T16/100*'Kalkylvärden 1'!$B$201)+('Gods UA2'!U16/100*'Kalkylvärden 1'!$B$202)+('Gods UA2'!V16/100*'Kalkylvärden 1'!$B$203)+('Gods UA2'!W16/100*'Kalkylvärden 1'!$B$204)+('Gods UA2'!X16/100*'Kalkylvärden 1'!$B$205)+('Gods UA2'!Y16/100*'Kalkylvärden 1'!$B$206)))</f>
        <v>0</v>
      </c>
      <c r="AY16"/>
      <c r="BB16" s="144"/>
      <c r="BC16" s="144"/>
      <c r="BD16" s="275"/>
      <c r="BE16" s="275"/>
      <c r="BF16" s="275"/>
      <c r="BG16" s="275"/>
      <c r="BH16" s="203"/>
      <c r="BI16" s="275"/>
      <c r="BJ16" s="275"/>
      <c r="BK16" s="275"/>
      <c r="BL16" s="275"/>
      <c r="BM16" s="275"/>
      <c r="BN16" s="1"/>
      <c r="BQ16"/>
      <c r="BR16" s="1"/>
      <c r="BS16"/>
      <c r="BT16" s="1"/>
      <c r="BU16"/>
      <c r="BW16" s="275"/>
      <c r="BY16" s="1"/>
    </row>
    <row r="17" spans="1:77" x14ac:dyDescent="0.25">
      <c r="A17" s="231" t="s">
        <v>329</v>
      </c>
      <c r="B17" s="262"/>
      <c r="C17" s="262"/>
      <c r="D17" s="239" t="e">
        <f t="shared" si="3"/>
        <v>#DIV/0!</v>
      </c>
      <c r="E17" s="307"/>
      <c r="F17" s="307"/>
      <c r="G17" s="262"/>
      <c r="H17" s="307"/>
      <c r="I17" s="262"/>
      <c r="J17" s="262"/>
      <c r="K17" s="338"/>
      <c r="L17" s="59">
        <f>K17/Projektspecifikt!$B$8</f>
        <v>0</v>
      </c>
      <c r="M17" s="339"/>
      <c r="N17" s="262"/>
      <c r="O17" s="262"/>
      <c r="P17" s="262"/>
      <c r="Q17" s="262"/>
      <c r="R17" s="262"/>
      <c r="S17" s="262"/>
      <c r="T17" s="262"/>
      <c r="U17" s="262"/>
      <c r="V17" s="262"/>
      <c r="W17" s="262"/>
      <c r="X17" s="262"/>
      <c r="Y17" s="262"/>
      <c r="Z17" s="233" t="str">
        <f t="shared" si="4"/>
        <v>FEL</v>
      </c>
      <c r="AA17" s="261">
        <f>'Gods UA1'!Y11</f>
        <v>20</v>
      </c>
      <c r="AB17" s="261">
        <f>'Gods UA1'!Z11</f>
        <v>10</v>
      </c>
      <c r="AC17" s="261">
        <f>'Gods UA1'!AA11</f>
        <v>50</v>
      </c>
      <c r="AD17" s="261">
        <v>0</v>
      </c>
      <c r="AE17" s="275" t="e">
        <f>IF(AD17=0,(('Kalkylvärden 1'!$D$97+AA17*('Kalkylvärden 1'!$D$98*(1-'Gods UA2'!AC17/100)+'Kalkylvärden 1'!$D$99*'Gods UA2'!AC17/100)+AB17*('Kalkylvärden 1'!$D$100*(1-'Gods UA2'!AC17/100)+'Kalkylvärden 1'!$D$101*'Gods UA2'!AC17/100))*E17/(E17+F17)+('Kalkylvärden 1'!$E$97+AA17*('Kalkylvärden 1'!$E$98*(1-'Gods UA2'!AC17/100)+'Kalkylvärden 1'!$E$99*'Gods UA2'!AC17/100)+AB17*('Kalkylvärden 1'!$E$100*(1-'Gods UA2'!AC17/100)+'Kalkylvärden 1'!$E$101*'Gods UA2'!AC17/100))*F17/(E17+F17)),((AA17+AB17)/('Kalkylvärden 1'!$H$98+'Kalkylvärden 1'!$H$99)*'Kalkylvärden 1'!$G$102))</f>
        <v>#DIV/0!</v>
      </c>
      <c r="AF17" s="361">
        <f>IF(AD17=0,('Kalkylvärden 1'!$D$103+AA17*'Kalkylvärden 1'!$D$104+'Gods UA2'!AB17*'Kalkylvärden 1'!$D$105),((AA17+AB17)/('Kalkylvärden 1'!$H$98+'Kalkylvärden 1'!$H$99)*'Kalkylvärden 1'!$G$105))</f>
        <v>54.767843200000002</v>
      </c>
      <c r="AG17" s="275" t="e">
        <f t="shared" si="0"/>
        <v>#DIV/0!</v>
      </c>
      <c r="AH17" s="275" t="e">
        <f>(AF17*(H17+J17)*60*2)+(AF17*G17*'Kalkylvärden 1'!$G$9*2)+(J17*'Kalkylvärden 1'!$G$10*'Kalkylvärden 1'!$M$100)+(M17*'Kalkylvärden 1'!$D$11*B17/C17)</f>
        <v>#DIV/0!</v>
      </c>
      <c r="AI17" s="275" t="e">
        <f t="shared" si="5"/>
        <v>#DIV/0!</v>
      </c>
      <c r="AJ17" s="275" t="e">
        <f t="shared" si="1"/>
        <v>#DIV/0!</v>
      </c>
      <c r="AK17" s="275">
        <f>(-B17*(E17+F17)*2*'Kalkylvärden 1'!$A$184)</f>
        <v>0</v>
      </c>
      <c r="AL17" s="275">
        <f>(-B17*(E17+F17)*2*'Kalkylvärden 1'!$A$186)</f>
        <v>0</v>
      </c>
      <c r="AM17" s="275">
        <f>(-B17*F17*2*'Kalkylvärden 1'!$A$188)</f>
        <v>0</v>
      </c>
      <c r="AN17" s="336">
        <f>IF(K17&lt;=0,0,((B17*K17*2)/Projektspecifikt!$B$7*'Kalkylvärden 1'!$A$180))</f>
        <v>0</v>
      </c>
      <c r="AO17" s="336">
        <f>IF(AS17&lt;=0,0,(B17*K17*2)/Projektspecifikt!$B$7*'Kalkylvärden 1'!$A$182)</f>
        <v>0</v>
      </c>
      <c r="AP17" s="336">
        <f t="shared" si="6"/>
        <v>0</v>
      </c>
      <c r="AQ17" s="275">
        <f t="shared" si="7"/>
        <v>0</v>
      </c>
      <c r="AR17" s="275">
        <f t="shared" si="8"/>
        <v>0</v>
      </c>
      <c r="AS17" s="332">
        <f>('Gods UA2'!K17/Projektspecifikt!$B$8)*B17:B46</f>
        <v>0</v>
      </c>
      <c r="AT17" s="275">
        <f>(H17+(G17*'Kalkylvärden 1'!$G$9/60)+J17)*B17:B46</f>
        <v>0</v>
      </c>
      <c r="AU17" s="275" t="e">
        <f t="shared" si="2"/>
        <v>#DIV/0!</v>
      </c>
      <c r="AV17" s="275" t="e">
        <f>IF(AR17&lt;=0,AU17,((AR17*'Kalkylvärden 1'!$A$112)+(AS17*'Kalkylvärden 1'!$A$114)))</f>
        <v>#DIV/0!</v>
      </c>
      <c r="AW17" s="275">
        <f>(B17*(H17+J17+(G17*'Kalkylvärden 1'!$G$9/60)))*((N17/100*'Kalkylvärden 1'!$B$195)+(O17/100*'Kalkylvärden 1'!$B$196)+(P17/100*'Kalkylvärden 1'!$B$197)+(Q17/100*'Kalkylvärden 1'!$B$198)+(R17/100*'Kalkylvärden 1'!$B$199)+(S17/100*'Kalkylvärden 1'!$B$200)+('Gods UA2'!T17/100*'Kalkylvärden 1'!$B$201)+('Gods UA2'!U17/100*'Kalkylvärden 1'!$B$202)+('Gods UA2'!V17/100*'Kalkylvärden 1'!$B$203)+('Gods UA2'!W17/100*'Kalkylvärden 1'!$B$204)+('Gods UA2'!X17/100*'Kalkylvärden 1'!$B$205)+('Gods UA2'!Y17/100*'Kalkylvärden 1'!$B$206))</f>
        <v>0</v>
      </c>
      <c r="AX17" s="275">
        <f>IF(AR17&lt;=0,AW17,(B17*(K17)/Projektspecifikt!$B$8)*((N17/100*'Kalkylvärden 1'!$B$195)+('Gods UA2'!O17/100*'Kalkylvärden 1'!$B$196)+('Gods UA2'!P17/100*'Kalkylvärden 1'!$B$197)+('Gods UA2'!Q17/100*'Kalkylvärden 1'!$B$198)+('Gods UA2'!R17/100*'Kalkylvärden 1'!$B$199)+('Gods UA2'!S17/100*'Kalkylvärden 1'!$B$200)+('Gods UA2'!T17/100*'Kalkylvärden 1'!$B$201)+('Gods UA2'!U17/100*'Kalkylvärden 1'!$B$202)+('Gods UA2'!V17/100*'Kalkylvärden 1'!$B$203)+('Gods UA2'!W17/100*'Kalkylvärden 1'!$B$204)+('Gods UA2'!X17/100*'Kalkylvärden 1'!$B$205)+('Gods UA2'!Y17/100*'Kalkylvärden 1'!$B$206)))</f>
        <v>0</v>
      </c>
      <c r="AY17"/>
      <c r="BB17" s="144"/>
      <c r="BC17" s="144"/>
      <c r="BD17" s="275"/>
      <c r="BE17" s="275"/>
      <c r="BF17" s="275"/>
      <c r="BG17" s="275"/>
      <c r="BH17" s="203"/>
      <c r="BI17" s="275"/>
      <c r="BJ17" s="275"/>
      <c r="BK17" s="275"/>
      <c r="BL17" s="275"/>
      <c r="BM17" s="275"/>
      <c r="BN17" s="1"/>
      <c r="BQ17"/>
      <c r="BR17" s="1"/>
      <c r="BS17"/>
      <c r="BT17" s="1"/>
      <c r="BU17"/>
      <c r="BW17" s="275"/>
      <c r="BY17" s="1"/>
    </row>
    <row r="18" spans="1:77" x14ac:dyDescent="0.25">
      <c r="A18" s="231" t="s">
        <v>329</v>
      </c>
      <c r="B18" s="262"/>
      <c r="C18" s="262"/>
      <c r="D18" s="239" t="e">
        <f t="shared" si="3"/>
        <v>#DIV/0!</v>
      </c>
      <c r="E18" s="307"/>
      <c r="F18" s="307"/>
      <c r="G18" s="262"/>
      <c r="H18" s="307"/>
      <c r="I18" s="262"/>
      <c r="J18" s="262"/>
      <c r="K18" s="338"/>
      <c r="L18" s="59">
        <f>K18/Projektspecifikt!$B$8</f>
        <v>0</v>
      </c>
      <c r="M18" s="339"/>
      <c r="N18" s="262"/>
      <c r="O18" s="262"/>
      <c r="P18" s="262"/>
      <c r="Q18" s="262"/>
      <c r="R18" s="262"/>
      <c r="S18" s="262"/>
      <c r="T18" s="262"/>
      <c r="U18" s="262"/>
      <c r="V18" s="262"/>
      <c r="W18" s="262"/>
      <c r="X18" s="262"/>
      <c r="Y18" s="262"/>
      <c r="Z18" s="233" t="str">
        <f t="shared" si="4"/>
        <v>FEL</v>
      </c>
      <c r="AA18" s="261">
        <f>'Gods UA1'!Y12</f>
        <v>20</v>
      </c>
      <c r="AB18" s="261">
        <f>'Gods UA1'!Z12</f>
        <v>10</v>
      </c>
      <c r="AC18" s="261">
        <f>'Gods UA1'!AA12</f>
        <v>50</v>
      </c>
      <c r="AD18" s="261">
        <v>0</v>
      </c>
      <c r="AE18" s="275" t="e">
        <f>IF(AD18=0,(('Kalkylvärden 1'!$D$97+AA18*('Kalkylvärden 1'!$D$98*(1-'Gods UA2'!AC18/100)+'Kalkylvärden 1'!$D$99*'Gods UA2'!AC18/100)+AB18*('Kalkylvärden 1'!$D$100*(1-'Gods UA2'!AC18/100)+'Kalkylvärden 1'!$D$101*'Gods UA2'!AC18/100))*E18/(E18+F18)+('Kalkylvärden 1'!$E$97+AA18*('Kalkylvärden 1'!$E$98*(1-'Gods UA2'!AC18/100)+'Kalkylvärden 1'!$E$99*'Gods UA2'!AC18/100)+AB18*('Kalkylvärden 1'!$E$100*(1-'Gods UA2'!AC18/100)+'Kalkylvärden 1'!$E$101*'Gods UA2'!AC18/100))*F18/(E18+F18)),((AA18+AB18)/('Kalkylvärden 1'!$H$98+'Kalkylvärden 1'!$H$99)*'Kalkylvärden 1'!$G$102))</f>
        <v>#DIV/0!</v>
      </c>
      <c r="AF18" s="361">
        <f>IF(AD18=0,('Kalkylvärden 1'!$D$103+AA18*'Kalkylvärden 1'!$D$104+'Gods UA2'!AB18*'Kalkylvärden 1'!$D$105),((AA18+AB18)/('Kalkylvärden 1'!$H$98+'Kalkylvärden 1'!$H$99)*'Kalkylvärden 1'!$G$105))</f>
        <v>54.767843200000002</v>
      </c>
      <c r="AG18" s="275" t="e">
        <f t="shared" si="0"/>
        <v>#DIV/0!</v>
      </c>
      <c r="AH18" s="275" t="e">
        <f>(AF18*(H18+J18)*60*2)+(AF18*G18*'Kalkylvärden 1'!$G$9*2)+(J18*'Kalkylvärden 1'!$G$10*'Kalkylvärden 1'!$M$100)+(M18*'Kalkylvärden 1'!$D$11*B18/C18)</f>
        <v>#DIV/0!</v>
      </c>
      <c r="AI18" s="275" t="e">
        <f t="shared" si="5"/>
        <v>#DIV/0!</v>
      </c>
      <c r="AJ18" s="275" t="e">
        <f t="shared" si="1"/>
        <v>#DIV/0!</v>
      </c>
      <c r="AK18" s="275">
        <f>(-B18*(E18+F18)*2*'Kalkylvärden 1'!$A$184)</f>
        <v>0</v>
      </c>
      <c r="AL18" s="275">
        <f>(-B18*(E18+F18)*2*'Kalkylvärden 1'!$A$186)</f>
        <v>0</v>
      </c>
      <c r="AM18" s="275">
        <f>(-B18*F18*2*'Kalkylvärden 1'!$A$188)</f>
        <v>0</v>
      </c>
      <c r="AN18" s="336">
        <f>IF(K18&lt;=0,0,((B18*K18*2)/Projektspecifikt!$B$7*'Kalkylvärden 1'!$A$180))</f>
        <v>0</v>
      </c>
      <c r="AO18" s="336">
        <f>IF(AS18&lt;=0,0,(B18*K18*2)/Projektspecifikt!$B$7*'Kalkylvärden 1'!$A$182)</f>
        <v>0</v>
      </c>
      <c r="AP18" s="336">
        <f t="shared" si="6"/>
        <v>0</v>
      </c>
      <c r="AQ18" s="275">
        <f t="shared" si="7"/>
        <v>0</v>
      </c>
      <c r="AR18" s="275">
        <f t="shared" si="8"/>
        <v>0</v>
      </c>
      <c r="AS18" s="332">
        <f>('Gods UA2'!K18/Projektspecifikt!$B$8)*B18:B47</f>
        <v>0</v>
      </c>
      <c r="AT18" s="275">
        <f>(H18+(G18*'Kalkylvärden 1'!$G$9/60)+J18)*B18:B47</f>
        <v>0</v>
      </c>
      <c r="AU18" s="275" t="e">
        <f t="shared" si="2"/>
        <v>#DIV/0!</v>
      </c>
      <c r="AV18" s="275" t="e">
        <f>IF(AR18&lt;=0,AU18,((AR18*'Kalkylvärden 1'!$A$112)+(AS18*'Kalkylvärden 1'!$A$114)))</f>
        <v>#DIV/0!</v>
      </c>
      <c r="AW18" s="275">
        <f>(B18*(H18+J18+(G18*'Kalkylvärden 1'!$G$9/60)))*((N18/100*'Kalkylvärden 1'!$B$195)+(O18/100*'Kalkylvärden 1'!$B$196)+(P18/100*'Kalkylvärden 1'!$B$197)+(Q18/100*'Kalkylvärden 1'!$B$198)+(R18/100*'Kalkylvärden 1'!$B$199)+(S18/100*'Kalkylvärden 1'!$B$200)+('Gods UA2'!T18/100*'Kalkylvärden 1'!$B$201)+('Gods UA2'!U18/100*'Kalkylvärden 1'!$B$202)+('Gods UA2'!V18/100*'Kalkylvärden 1'!$B$203)+('Gods UA2'!W18/100*'Kalkylvärden 1'!$B$204)+('Gods UA2'!X18/100*'Kalkylvärden 1'!$B$205)+('Gods UA2'!Y18/100*'Kalkylvärden 1'!$B$206))</f>
        <v>0</v>
      </c>
      <c r="AX18" s="275">
        <f>IF(AR18&lt;=0,AW18,(B18*(K18)/Projektspecifikt!$B$8)*((N18/100*'Kalkylvärden 1'!$B$195)+('Gods UA2'!O18/100*'Kalkylvärden 1'!$B$196)+('Gods UA2'!P18/100*'Kalkylvärden 1'!$B$197)+('Gods UA2'!Q18/100*'Kalkylvärden 1'!$B$198)+('Gods UA2'!R18/100*'Kalkylvärden 1'!$B$199)+('Gods UA2'!S18/100*'Kalkylvärden 1'!$B$200)+('Gods UA2'!T18/100*'Kalkylvärden 1'!$B$201)+('Gods UA2'!U18/100*'Kalkylvärden 1'!$B$202)+('Gods UA2'!V18/100*'Kalkylvärden 1'!$B$203)+('Gods UA2'!W18/100*'Kalkylvärden 1'!$B$204)+('Gods UA2'!X18/100*'Kalkylvärden 1'!$B$205)+('Gods UA2'!Y18/100*'Kalkylvärden 1'!$B$206)))</f>
        <v>0</v>
      </c>
      <c r="AY18"/>
      <c r="BB18" s="144"/>
      <c r="BC18" s="144"/>
      <c r="BD18" s="275"/>
      <c r="BE18" s="275"/>
      <c r="BF18" s="275"/>
      <c r="BG18" s="275"/>
      <c r="BH18" s="203"/>
      <c r="BI18" s="275"/>
      <c r="BJ18" s="275"/>
      <c r="BK18" s="275"/>
      <c r="BL18" s="275"/>
      <c r="BM18" s="275"/>
      <c r="BN18" s="1"/>
      <c r="BQ18"/>
      <c r="BR18" s="1"/>
      <c r="BS18"/>
      <c r="BT18" s="1"/>
      <c r="BU18"/>
      <c r="BW18" s="275"/>
      <c r="BY18" s="1"/>
    </row>
    <row r="19" spans="1:77" x14ac:dyDescent="0.25">
      <c r="A19" s="231" t="s">
        <v>329</v>
      </c>
      <c r="B19" s="262"/>
      <c r="C19" s="262"/>
      <c r="D19" s="239" t="e">
        <f t="shared" si="3"/>
        <v>#DIV/0!</v>
      </c>
      <c r="E19" s="307"/>
      <c r="F19" s="307"/>
      <c r="G19" s="262"/>
      <c r="H19" s="307"/>
      <c r="I19" s="262"/>
      <c r="J19" s="262"/>
      <c r="K19" s="338"/>
      <c r="L19" s="59">
        <f>K19/Projektspecifikt!$B$8</f>
        <v>0</v>
      </c>
      <c r="M19" s="339"/>
      <c r="N19" s="262"/>
      <c r="O19" s="262"/>
      <c r="P19" s="262"/>
      <c r="Q19" s="262"/>
      <c r="R19" s="262"/>
      <c r="S19" s="262"/>
      <c r="T19" s="262"/>
      <c r="U19" s="262"/>
      <c r="V19" s="262"/>
      <c r="W19" s="262"/>
      <c r="X19" s="262"/>
      <c r="Y19" s="262"/>
      <c r="Z19" s="233" t="str">
        <f t="shared" si="4"/>
        <v>FEL</v>
      </c>
      <c r="AA19" s="261">
        <f>'Gods UA1'!Y13</f>
        <v>20</v>
      </c>
      <c r="AB19" s="261">
        <f>'Gods UA1'!Z13</f>
        <v>10</v>
      </c>
      <c r="AC19" s="261">
        <f>'Gods UA1'!AA13</f>
        <v>50</v>
      </c>
      <c r="AD19" s="261">
        <v>0</v>
      </c>
      <c r="AE19" s="275" t="e">
        <f>IF(AD19=0,(('Kalkylvärden 1'!$D$97+AA19*('Kalkylvärden 1'!$D$98*(1-'Gods UA2'!AC19/100)+'Kalkylvärden 1'!$D$99*'Gods UA2'!AC19/100)+AB19*('Kalkylvärden 1'!$D$100*(1-'Gods UA2'!AC19/100)+'Kalkylvärden 1'!$D$101*'Gods UA2'!AC19/100))*E19/(E19+F19)+('Kalkylvärden 1'!$E$97+AA19*('Kalkylvärden 1'!$E$98*(1-'Gods UA2'!AC19/100)+'Kalkylvärden 1'!$E$99*'Gods UA2'!AC19/100)+AB19*('Kalkylvärden 1'!$E$100*(1-'Gods UA2'!AC19/100)+'Kalkylvärden 1'!$E$101*'Gods UA2'!AC19/100))*F19/(E19+F19)),((AA19+AB19)/('Kalkylvärden 1'!$H$98+'Kalkylvärden 1'!$H$99)*'Kalkylvärden 1'!$G$102))</f>
        <v>#DIV/0!</v>
      </c>
      <c r="AF19" s="361">
        <f>IF(AD19=0,('Kalkylvärden 1'!$D$103+AA19*'Kalkylvärden 1'!$D$104+'Gods UA2'!AB19*'Kalkylvärden 1'!$D$105),((AA19+AB19)/('Kalkylvärden 1'!$H$98+'Kalkylvärden 1'!$H$99)*'Kalkylvärden 1'!$G$105))</f>
        <v>54.767843200000002</v>
      </c>
      <c r="AG19" s="275" t="e">
        <f t="shared" si="0"/>
        <v>#DIV/0!</v>
      </c>
      <c r="AH19" s="275" t="e">
        <f>(AF19*(H19+J19)*60*2)+(AF19*G19*'Kalkylvärden 1'!$G$9*2)+(J19*'Kalkylvärden 1'!$G$10*'Kalkylvärden 1'!$M$100)+(M19*'Kalkylvärden 1'!$D$11*B19/C19)</f>
        <v>#DIV/0!</v>
      </c>
      <c r="AI19" s="275" t="e">
        <f t="shared" si="5"/>
        <v>#DIV/0!</v>
      </c>
      <c r="AJ19" s="275" t="e">
        <f t="shared" si="1"/>
        <v>#DIV/0!</v>
      </c>
      <c r="AK19" s="275">
        <f>(-B19*(E19+F19)*2*'Kalkylvärden 1'!$A$184)</f>
        <v>0</v>
      </c>
      <c r="AL19" s="275">
        <f>(-B19*(E19+F19)*2*'Kalkylvärden 1'!$A$186)</f>
        <v>0</v>
      </c>
      <c r="AM19" s="275">
        <f>(-B19*F19*2*'Kalkylvärden 1'!$A$188)</f>
        <v>0</v>
      </c>
      <c r="AN19" s="336">
        <f>IF(K19&lt;=0,0,((B19*K19*2)/Projektspecifikt!$B$7*'Kalkylvärden 1'!$A$180))</f>
        <v>0</v>
      </c>
      <c r="AO19" s="336">
        <f>IF(AS19&lt;=0,0,(B19*K19*2)/Projektspecifikt!$B$7*'Kalkylvärden 1'!$A$182)</f>
        <v>0</v>
      </c>
      <c r="AP19" s="336">
        <f t="shared" si="6"/>
        <v>0</v>
      </c>
      <c r="AQ19" s="275">
        <f t="shared" si="7"/>
        <v>0</v>
      </c>
      <c r="AR19" s="275">
        <f t="shared" si="8"/>
        <v>0</v>
      </c>
      <c r="AS19" s="332">
        <f>('Gods UA2'!K19/Projektspecifikt!$B$8)*B19:B48</f>
        <v>0</v>
      </c>
      <c r="AT19" s="275">
        <f>(H19+(G19*'Kalkylvärden 1'!$G$9/60)+J19)*B19:B48</f>
        <v>0</v>
      </c>
      <c r="AU19" s="275" t="e">
        <f t="shared" si="2"/>
        <v>#DIV/0!</v>
      </c>
      <c r="AV19" s="275" t="e">
        <f>IF(AR19&lt;=0,AU19,((AR19*'Kalkylvärden 1'!$A$112)+(AS19*'Kalkylvärden 1'!$A$114)))</f>
        <v>#DIV/0!</v>
      </c>
      <c r="AW19" s="275">
        <f>(B19*(H19+J19+(G19*'Kalkylvärden 1'!$G$9/60)))*((N19/100*'Kalkylvärden 1'!$B$195)+(O19/100*'Kalkylvärden 1'!$B$196)+(P19/100*'Kalkylvärden 1'!$B$197)+(Q19/100*'Kalkylvärden 1'!$B$198)+(R19/100*'Kalkylvärden 1'!$B$199)+(S19/100*'Kalkylvärden 1'!$B$200)+('Gods UA2'!T19/100*'Kalkylvärden 1'!$B$201)+('Gods UA2'!U19/100*'Kalkylvärden 1'!$B$202)+('Gods UA2'!V19/100*'Kalkylvärden 1'!$B$203)+('Gods UA2'!W19/100*'Kalkylvärden 1'!$B$204)+('Gods UA2'!X19/100*'Kalkylvärden 1'!$B$205)+('Gods UA2'!Y19/100*'Kalkylvärden 1'!$B$206))</f>
        <v>0</v>
      </c>
      <c r="AX19" s="275">
        <f>IF(AR19&lt;=0,AW19,(B19*(K19)/Projektspecifikt!$B$8)*((N19/100*'Kalkylvärden 1'!$B$195)+('Gods UA2'!O19/100*'Kalkylvärden 1'!$B$196)+('Gods UA2'!P19/100*'Kalkylvärden 1'!$B$197)+('Gods UA2'!Q19/100*'Kalkylvärden 1'!$B$198)+('Gods UA2'!R19/100*'Kalkylvärden 1'!$B$199)+('Gods UA2'!S19/100*'Kalkylvärden 1'!$B$200)+('Gods UA2'!T19/100*'Kalkylvärden 1'!$B$201)+('Gods UA2'!U19/100*'Kalkylvärden 1'!$B$202)+('Gods UA2'!V19/100*'Kalkylvärden 1'!$B$203)+('Gods UA2'!W19/100*'Kalkylvärden 1'!$B$204)+('Gods UA2'!X19/100*'Kalkylvärden 1'!$B$205)+('Gods UA2'!Y19/100*'Kalkylvärden 1'!$B$206)))</f>
        <v>0</v>
      </c>
      <c r="AY19"/>
      <c r="BB19" s="144"/>
      <c r="BC19" s="144"/>
      <c r="BD19" s="275"/>
      <c r="BE19" s="275"/>
      <c r="BF19" s="275"/>
      <c r="BG19" s="275"/>
      <c r="BH19" s="203"/>
      <c r="BI19" s="275"/>
      <c r="BJ19" s="275"/>
      <c r="BK19" s="275"/>
      <c r="BL19" s="275"/>
      <c r="BM19" s="275"/>
      <c r="BN19" s="1"/>
      <c r="BQ19"/>
      <c r="BR19" s="1"/>
      <c r="BS19"/>
      <c r="BT19" s="1"/>
      <c r="BU19"/>
      <c r="BW19" s="275"/>
      <c r="BY19" s="1"/>
    </row>
    <row r="20" spans="1:77" x14ac:dyDescent="0.25">
      <c r="A20" s="231" t="s">
        <v>329</v>
      </c>
      <c r="B20" s="262"/>
      <c r="C20" s="262"/>
      <c r="D20" s="239" t="e">
        <f t="shared" si="3"/>
        <v>#DIV/0!</v>
      </c>
      <c r="E20" s="307"/>
      <c r="F20" s="307"/>
      <c r="G20" s="262"/>
      <c r="H20" s="307"/>
      <c r="I20" s="262"/>
      <c r="J20" s="262"/>
      <c r="K20" s="338"/>
      <c r="L20" s="59">
        <f>K20/Projektspecifikt!$B$8</f>
        <v>0</v>
      </c>
      <c r="M20" s="339"/>
      <c r="N20" s="262"/>
      <c r="O20" s="262"/>
      <c r="P20" s="262"/>
      <c r="Q20" s="262"/>
      <c r="R20" s="262"/>
      <c r="S20" s="262"/>
      <c r="T20" s="262"/>
      <c r="U20" s="262"/>
      <c r="V20" s="262"/>
      <c r="W20" s="262"/>
      <c r="X20" s="262"/>
      <c r="Y20" s="262"/>
      <c r="Z20" s="233" t="str">
        <f t="shared" si="4"/>
        <v>FEL</v>
      </c>
      <c r="AA20" s="261">
        <f>'Gods UA1'!Y14</f>
        <v>20</v>
      </c>
      <c r="AB20" s="261">
        <f>'Gods UA1'!Z14</f>
        <v>10</v>
      </c>
      <c r="AC20" s="261">
        <f>'Gods UA1'!AA14</f>
        <v>50</v>
      </c>
      <c r="AD20" s="261">
        <v>0</v>
      </c>
      <c r="AE20" s="275" t="e">
        <f>IF(AD20=0,(('Kalkylvärden 1'!$D$97+AA20*('Kalkylvärden 1'!$D$98*(1-'Gods UA2'!AC20/100)+'Kalkylvärden 1'!$D$99*'Gods UA2'!AC20/100)+AB20*('Kalkylvärden 1'!$D$100*(1-'Gods UA2'!AC20/100)+'Kalkylvärden 1'!$D$101*'Gods UA2'!AC20/100))*E20/(E20+F20)+('Kalkylvärden 1'!$E$97+AA20*('Kalkylvärden 1'!$E$98*(1-'Gods UA2'!AC20/100)+'Kalkylvärden 1'!$E$99*'Gods UA2'!AC20/100)+AB20*('Kalkylvärden 1'!$E$100*(1-'Gods UA2'!AC20/100)+'Kalkylvärden 1'!$E$101*'Gods UA2'!AC20/100))*F20/(E20+F20)),((AA20+AB20)/('Kalkylvärden 1'!$H$98+'Kalkylvärden 1'!$H$99)*'Kalkylvärden 1'!$G$102))</f>
        <v>#DIV/0!</v>
      </c>
      <c r="AF20" s="361">
        <f>IF(AD20=0,('Kalkylvärden 1'!$D$103+AA20*'Kalkylvärden 1'!$D$104+'Gods UA2'!AB20*'Kalkylvärden 1'!$D$105),((AA20+AB20)/('Kalkylvärden 1'!$H$98+'Kalkylvärden 1'!$H$99)*'Kalkylvärden 1'!$G$105))</f>
        <v>54.767843200000002</v>
      </c>
      <c r="AG20" s="275" t="e">
        <f t="shared" si="0"/>
        <v>#DIV/0!</v>
      </c>
      <c r="AH20" s="275" t="e">
        <f>(AF20*(H20+J20)*60*2)+(AF20*G20*'Kalkylvärden 1'!$G$9*2)+(J20*'Kalkylvärden 1'!$G$10*'Kalkylvärden 1'!$M$100)+(M20*'Kalkylvärden 1'!$D$11*B20/C20)</f>
        <v>#DIV/0!</v>
      </c>
      <c r="AI20" s="275" t="e">
        <f t="shared" si="5"/>
        <v>#DIV/0!</v>
      </c>
      <c r="AJ20" s="275" t="e">
        <f t="shared" si="1"/>
        <v>#DIV/0!</v>
      </c>
      <c r="AK20" s="275">
        <f>(-B20*(E20+F20)*2*'Kalkylvärden 1'!$A$184)</f>
        <v>0</v>
      </c>
      <c r="AL20" s="275">
        <f>(-B20*(E20+F20)*2*'Kalkylvärden 1'!$A$186)</f>
        <v>0</v>
      </c>
      <c r="AM20" s="275">
        <f>(-B20*F20*2*'Kalkylvärden 1'!$A$188)</f>
        <v>0</v>
      </c>
      <c r="AN20" s="336">
        <f>IF(K20&lt;=0,0,((B20*K20*2)/Projektspecifikt!$B$7*'Kalkylvärden 1'!$A$180))</f>
        <v>0</v>
      </c>
      <c r="AO20" s="336">
        <f>IF(AS20&lt;=0,0,(B20*K20*2)/Projektspecifikt!$B$7*'Kalkylvärden 1'!$A$182)</f>
        <v>0</v>
      </c>
      <c r="AP20" s="336">
        <f t="shared" si="6"/>
        <v>0</v>
      </c>
      <c r="AQ20" s="275">
        <f t="shared" si="7"/>
        <v>0</v>
      </c>
      <c r="AR20" s="275">
        <f t="shared" si="8"/>
        <v>0</v>
      </c>
      <c r="AS20" s="332">
        <f>('Gods UA2'!K20/Projektspecifikt!$B$8)*B20:B49</f>
        <v>0</v>
      </c>
      <c r="AT20" s="275">
        <f>(H20+(G20*'Kalkylvärden 1'!$G$9/60)+J20)*B20:B49</f>
        <v>0</v>
      </c>
      <c r="AU20" s="275" t="e">
        <f t="shared" si="2"/>
        <v>#DIV/0!</v>
      </c>
      <c r="AV20" s="275" t="e">
        <f>IF(AR20&lt;=0,AU20,((AR20*'Kalkylvärden 1'!$A$112)+(AS20*'Kalkylvärden 1'!$A$114)))</f>
        <v>#DIV/0!</v>
      </c>
      <c r="AW20" s="275">
        <f>(B20*(H20+J20+(G20*'Kalkylvärden 1'!$G$9/60)))*((N20/100*'Kalkylvärden 1'!$B$195)+(O20/100*'Kalkylvärden 1'!$B$196)+(P20/100*'Kalkylvärden 1'!$B$197)+(Q20/100*'Kalkylvärden 1'!$B$198)+(R20/100*'Kalkylvärden 1'!$B$199)+(S20/100*'Kalkylvärden 1'!$B$200)+('Gods UA2'!T20/100*'Kalkylvärden 1'!$B$201)+('Gods UA2'!U20/100*'Kalkylvärden 1'!$B$202)+('Gods UA2'!V20/100*'Kalkylvärden 1'!$B$203)+('Gods UA2'!W20/100*'Kalkylvärden 1'!$B$204)+('Gods UA2'!X20/100*'Kalkylvärden 1'!$B$205)+('Gods UA2'!Y20/100*'Kalkylvärden 1'!$B$206))</f>
        <v>0</v>
      </c>
      <c r="AX20" s="275">
        <f>IF(AR20&lt;=0,AW20,(B20*(K20)/Projektspecifikt!$B$8)*((N20/100*'Kalkylvärden 1'!$B$195)+('Gods UA2'!O20/100*'Kalkylvärden 1'!$B$196)+('Gods UA2'!P20/100*'Kalkylvärden 1'!$B$197)+('Gods UA2'!Q20/100*'Kalkylvärden 1'!$B$198)+('Gods UA2'!R20/100*'Kalkylvärden 1'!$B$199)+('Gods UA2'!S20/100*'Kalkylvärden 1'!$B$200)+('Gods UA2'!T20/100*'Kalkylvärden 1'!$B$201)+('Gods UA2'!U20/100*'Kalkylvärden 1'!$B$202)+('Gods UA2'!V20/100*'Kalkylvärden 1'!$B$203)+('Gods UA2'!W20/100*'Kalkylvärden 1'!$B$204)+('Gods UA2'!X20/100*'Kalkylvärden 1'!$B$205)+('Gods UA2'!Y20/100*'Kalkylvärden 1'!$B$206)))</f>
        <v>0</v>
      </c>
      <c r="AY20"/>
      <c r="BB20" s="144"/>
      <c r="BC20" s="144"/>
      <c r="BD20" s="275"/>
      <c r="BE20" s="275"/>
      <c r="BF20" s="275"/>
      <c r="BG20" s="275"/>
      <c r="BH20" s="203"/>
      <c r="BI20" s="275"/>
      <c r="BJ20" s="275"/>
      <c r="BK20" s="275"/>
      <c r="BL20" s="275"/>
      <c r="BM20" s="275"/>
      <c r="BN20" s="1"/>
      <c r="BQ20"/>
      <c r="BR20" s="1"/>
      <c r="BS20"/>
      <c r="BT20" s="1"/>
      <c r="BU20"/>
      <c r="BW20" s="275"/>
      <c r="BY20" s="1"/>
    </row>
    <row r="21" spans="1:77" x14ac:dyDescent="0.25">
      <c r="A21" s="231" t="s">
        <v>329</v>
      </c>
      <c r="B21" s="262"/>
      <c r="C21" s="262"/>
      <c r="D21" s="239" t="e">
        <f t="shared" si="3"/>
        <v>#DIV/0!</v>
      </c>
      <c r="E21" s="307"/>
      <c r="F21" s="307"/>
      <c r="G21" s="262"/>
      <c r="H21" s="307"/>
      <c r="I21" s="262"/>
      <c r="J21" s="262"/>
      <c r="K21" s="338"/>
      <c r="L21" s="59">
        <f>K21/Projektspecifikt!$B$8</f>
        <v>0</v>
      </c>
      <c r="M21" s="339"/>
      <c r="N21" s="262"/>
      <c r="O21" s="262"/>
      <c r="P21" s="262"/>
      <c r="Q21" s="262"/>
      <c r="R21" s="262"/>
      <c r="S21" s="262"/>
      <c r="T21" s="262"/>
      <c r="U21" s="262"/>
      <c r="V21" s="262"/>
      <c r="W21" s="262"/>
      <c r="X21" s="262"/>
      <c r="Y21" s="262"/>
      <c r="Z21" s="233" t="str">
        <f t="shared" si="4"/>
        <v>FEL</v>
      </c>
      <c r="AA21" s="261">
        <f>'Gods UA1'!Y15</f>
        <v>20</v>
      </c>
      <c r="AB21" s="261">
        <f>'Gods UA1'!Z15</f>
        <v>10</v>
      </c>
      <c r="AC21" s="261">
        <f>'Gods UA1'!AA15</f>
        <v>50</v>
      </c>
      <c r="AD21" s="261">
        <v>0</v>
      </c>
      <c r="AE21" s="275" t="e">
        <f>IF(AD21=0,(('Kalkylvärden 1'!$D$97+AA21*('Kalkylvärden 1'!$D$98*(1-'Gods UA2'!AC21/100)+'Kalkylvärden 1'!$D$99*'Gods UA2'!AC21/100)+AB21*('Kalkylvärden 1'!$D$100*(1-'Gods UA2'!AC21/100)+'Kalkylvärden 1'!$D$101*'Gods UA2'!AC21/100))*E21/(E21+F21)+('Kalkylvärden 1'!$E$97+AA21*('Kalkylvärden 1'!$E$98*(1-'Gods UA2'!AC21/100)+'Kalkylvärden 1'!$E$99*'Gods UA2'!AC21/100)+AB21*('Kalkylvärden 1'!$E$100*(1-'Gods UA2'!AC21/100)+'Kalkylvärden 1'!$E$101*'Gods UA2'!AC21/100))*F21/(E21+F21)),((AA21+AB21)/('Kalkylvärden 1'!$H$98+'Kalkylvärden 1'!$H$99)*'Kalkylvärden 1'!$G$102))</f>
        <v>#DIV/0!</v>
      </c>
      <c r="AF21" s="361">
        <f>IF(AD21=0,('Kalkylvärden 1'!$D$103+AA21*'Kalkylvärden 1'!$D$104+'Gods UA2'!AB21*'Kalkylvärden 1'!$D$105),((AA21+AB21)/('Kalkylvärden 1'!$H$98+'Kalkylvärden 1'!$H$99)*'Kalkylvärden 1'!$G$105))</f>
        <v>54.767843200000002</v>
      </c>
      <c r="AG21" s="275" t="e">
        <f t="shared" si="0"/>
        <v>#DIV/0!</v>
      </c>
      <c r="AH21" s="275" t="e">
        <f>(AF21*(H21+J21)*60*2)+(AF21*G21*'Kalkylvärden 1'!$G$9*2)+(J21*'Kalkylvärden 1'!$G$10*'Kalkylvärden 1'!$M$100)+(M21*'Kalkylvärden 1'!$D$11*B21/C21)</f>
        <v>#DIV/0!</v>
      </c>
      <c r="AI21" s="275" t="e">
        <f t="shared" si="5"/>
        <v>#DIV/0!</v>
      </c>
      <c r="AJ21" s="275" t="e">
        <f t="shared" si="1"/>
        <v>#DIV/0!</v>
      </c>
      <c r="AK21" s="275">
        <f>(-B21*(E21+F21)*2*'Kalkylvärden 1'!$A$184)</f>
        <v>0</v>
      </c>
      <c r="AL21" s="275">
        <f>(-B21*(E21+F21)*2*'Kalkylvärden 1'!$A$186)</f>
        <v>0</v>
      </c>
      <c r="AM21" s="275">
        <f>(-B21*F21*2*'Kalkylvärden 1'!$A$188)</f>
        <v>0</v>
      </c>
      <c r="AN21" s="336">
        <f>IF(K21&lt;=0,0,((B21*K21*2)/Projektspecifikt!$B$7*'Kalkylvärden 1'!$A$180))</f>
        <v>0</v>
      </c>
      <c r="AO21" s="336">
        <f>IF(AS21&lt;=0,0,(B21*K21*2)/Projektspecifikt!$B$7*'Kalkylvärden 1'!$A$182)</f>
        <v>0</v>
      </c>
      <c r="AP21" s="336">
        <f t="shared" si="6"/>
        <v>0</v>
      </c>
      <c r="AQ21" s="275">
        <f t="shared" si="7"/>
        <v>0</v>
      </c>
      <c r="AR21" s="275">
        <f t="shared" si="8"/>
        <v>0</v>
      </c>
      <c r="AS21" s="332">
        <f>('Gods UA2'!K21/Projektspecifikt!$B$8)*B21:B50</f>
        <v>0</v>
      </c>
      <c r="AT21" s="275">
        <f>(H21+(G21*'Kalkylvärden 1'!$G$9/60)+J21)*B21:B50</f>
        <v>0</v>
      </c>
      <c r="AU21" s="275" t="e">
        <f t="shared" si="2"/>
        <v>#DIV/0!</v>
      </c>
      <c r="AV21" s="275" t="e">
        <f>IF(AR21&lt;=0,AU21,((AR21*'Kalkylvärden 1'!$A$112)+(AS21*'Kalkylvärden 1'!$A$114)))</f>
        <v>#DIV/0!</v>
      </c>
      <c r="AW21" s="275">
        <f>(B21*(H21+J21+(G21*'Kalkylvärden 1'!$G$9/60)))*((N21/100*'Kalkylvärden 1'!$B$195)+(O21/100*'Kalkylvärden 1'!$B$196)+(P21/100*'Kalkylvärden 1'!$B$197)+(Q21/100*'Kalkylvärden 1'!$B$198)+(R21/100*'Kalkylvärden 1'!$B$199)+(S21/100*'Kalkylvärden 1'!$B$200)+('Gods UA2'!T21/100*'Kalkylvärden 1'!$B$201)+('Gods UA2'!U21/100*'Kalkylvärden 1'!$B$202)+('Gods UA2'!V21/100*'Kalkylvärden 1'!$B$203)+('Gods UA2'!W21/100*'Kalkylvärden 1'!$B$204)+('Gods UA2'!X21/100*'Kalkylvärden 1'!$B$205)+('Gods UA2'!Y21/100*'Kalkylvärden 1'!$B$206))</f>
        <v>0</v>
      </c>
      <c r="AX21" s="275">
        <f>IF(AR21&lt;=0,AW21,(B21*(K21)/Projektspecifikt!$B$8)*((N21/100*'Kalkylvärden 1'!$B$195)+('Gods UA2'!O21/100*'Kalkylvärden 1'!$B$196)+('Gods UA2'!P21/100*'Kalkylvärden 1'!$B$197)+('Gods UA2'!Q21/100*'Kalkylvärden 1'!$B$198)+('Gods UA2'!R21/100*'Kalkylvärden 1'!$B$199)+('Gods UA2'!S21/100*'Kalkylvärden 1'!$B$200)+('Gods UA2'!T21/100*'Kalkylvärden 1'!$B$201)+('Gods UA2'!U21/100*'Kalkylvärden 1'!$B$202)+('Gods UA2'!V21/100*'Kalkylvärden 1'!$B$203)+('Gods UA2'!W21/100*'Kalkylvärden 1'!$B$204)+('Gods UA2'!X21/100*'Kalkylvärden 1'!$B$205)+('Gods UA2'!Y21/100*'Kalkylvärden 1'!$B$206)))</f>
        <v>0</v>
      </c>
      <c r="AY21"/>
      <c r="BB21" s="144"/>
      <c r="BC21" s="144"/>
      <c r="BD21" s="275"/>
      <c r="BE21" s="275"/>
      <c r="BF21" s="275"/>
      <c r="BG21" s="275"/>
      <c r="BH21" s="203"/>
      <c r="BI21" s="275"/>
      <c r="BJ21" s="275"/>
      <c r="BK21" s="275"/>
      <c r="BL21" s="275"/>
      <c r="BM21" s="275"/>
      <c r="BN21" s="1"/>
      <c r="BQ21"/>
      <c r="BR21" s="1"/>
      <c r="BS21"/>
      <c r="BT21" s="1"/>
      <c r="BU21"/>
      <c r="BW21" s="275"/>
      <c r="BY21" s="1"/>
    </row>
    <row r="22" spans="1:77" x14ac:dyDescent="0.25">
      <c r="A22" s="231" t="s">
        <v>329</v>
      </c>
      <c r="B22" s="262"/>
      <c r="C22" s="262"/>
      <c r="D22" s="239" t="e">
        <f t="shared" si="3"/>
        <v>#DIV/0!</v>
      </c>
      <c r="E22" s="307"/>
      <c r="F22" s="307"/>
      <c r="G22" s="262"/>
      <c r="H22" s="307"/>
      <c r="I22" s="262"/>
      <c r="J22" s="262"/>
      <c r="K22" s="338"/>
      <c r="L22" s="59">
        <f>K22/Projektspecifikt!$B$8</f>
        <v>0</v>
      </c>
      <c r="M22" s="339"/>
      <c r="N22" s="262"/>
      <c r="O22" s="262"/>
      <c r="P22" s="262"/>
      <c r="Q22" s="262"/>
      <c r="R22" s="262"/>
      <c r="S22" s="262"/>
      <c r="T22" s="262"/>
      <c r="U22" s="262"/>
      <c r="V22" s="262"/>
      <c r="W22" s="262"/>
      <c r="X22" s="262"/>
      <c r="Y22" s="262"/>
      <c r="Z22" s="233" t="str">
        <f t="shared" si="4"/>
        <v>FEL</v>
      </c>
      <c r="AA22" s="261">
        <f>'Gods UA1'!Y16</f>
        <v>20</v>
      </c>
      <c r="AB22" s="261">
        <f>'Gods UA1'!Z16</f>
        <v>10</v>
      </c>
      <c r="AC22" s="261">
        <f>'Gods UA1'!AA16</f>
        <v>50</v>
      </c>
      <c r="AD22" s="261">
        <v>0</v>
      </c>
      <c r="AE22" s="275" t="e">
        <f>IF(AD22=0,(('Kalkylvärden 1'!$D$97+AA22*('Kalkylvärden 1'!$D$98*(1-'Gods UA2'!AC22/100)+'Kalkylvärden 1'!$D$99*'Gods UA2'!AC22/100)+AB22*('Kalkylvärden 1'!$D$100*(1-'Gods UA2'!AC22/100)+'Kalkylvärden 1'!$D$101*'Gods UA2'!AC22/100))*E22/(E22+F22)+('Kalkylvärden 1'!$E$97+AA22*('Kalkylvärden 1'!$E$98*(1-'Gods UA2'!AC22/100)+'Kalkylvärden 1'!$E$99*'Gods UA2'!AC22/100)+AB22*('Kalkylvärden 1'!$E$100*(1-'Gods UA2'!AC22/100)+'Kalkylvärden 1'!$E$101*'Gods UA2'!AC22/100))*F22/(E22+F22)),((AA22+AB22)/('Kalkylvärden 1'!$H$98+'Kalkylvärden 1'!$H$99)*'Kalkylvärden 1'!$G$102))</f>
        <v>#DIV/0!</v>
      </c>
      <c r="AF22" s="361">
        <f>IF(AD22=0,('Kalkylvärden 1'!$D$103+AA22*'Kalkylvärden 1'!$D$104+'Gods UA2'!AB22*'Kalkylvärden 1'!$D$105),((AA22+AB22)/('Kalkylvärden 1'!$H$98+'Kalkylvärden 1'!$H$99)*'Kalkylvärden 1'!$G$105))</f>
        <v>54.767843200000002</v>
      </c>
      <c r="AG22" s="275" t="e">
        <f t="shared" si="0"/>
        <v>#DIV/0!</v>
      </c>
      <c r="AH22" s="275" t="e">
        <f>(AF22*(H22+J22)*60*2)+(AF22*G22*'Kalkylvärden 1'!$G$9*2)+(J22*'Kalkylvärden 1'!$G$10*'Kalkylvärden 1'!$M$100)+(M22*'Kalkylvärden 1'!$D$11*B22/C22)</f>
        <v>#DIV/0!</v>
      </c>
      <c r="AI22" s="275" t="e">
        <f t="shared" si="5"/>
        <v>#DIV/0!</v>
      </c>
      <c r="AJ22" s="275" t="e">
        <f t="shared" si="1"/>
        <v>#DIV/0!</v>
      </c>
      <c r="AK22" s="275">
        <f>(-B22*(E22+F22)*2*'Kalkylvärden 1'!$A$184)</f>
        <v>0</v>
      </c>
      <c r="AL22" s="275">
        <f>(-B22*(E22+F22)*2*'Kalkylvärden 1'!$A$186)</f>
        <v>0</v>
      </c>
      <c r="AM22" s="275">
        <f>(-B22*F22*2*'Kalkylvärden 1'!$A$188)</f>
        <v>0</v>
      </c>
      <c r="AN22" s="336">
        <f>IF(K22&lt;=0,0,((B22*K22*2)/Projektspecifikt!$B$7*'Kalkylvärden 1'!$A$180))</f>
        <v>0</v>
      </c>
      <c r="AO22" s="336">
        <f>IF(AS22&lt;=0,0,(B22*K22*2)/Projektspecifikt!$B$7*'Kalkylvärden 1'!$A$182)</f>
        <v>0</v>
      </c>
      <c r="AP22" s="336">
        <f t="shared" si="6"/>
        <v>0</v>
      </c>
      <c r="AQ22" s="275">
        <f t="shared" si="7"/>
        <v>0</v>
      </c>
      <c r="AR22" s="275">
        <f t="shared" si="8"/>
        <v>0</v>
      </c>
      <c r="AS22" s="332">
        <f>('Gods UA2'!K22/Projektspecifikt!$B$8)*B22:B51</f>
        <v>0</v>
      </c>
      <c r="AT22" s="275">
        <f>(H22+(G22*'Kalkylvärden 1'!$G$9/60)+J22)*B22:B51</f>
        <v>0</v>
      </c>
      <c r="AU22" s="275" t="e">
        <f t="shared" si="2"/>
        <v>#DIV/0!</v>
      </c>
      <c r="AV22" s="275" t="e">
        <f>IF(AR22&lt;=0,AU22,((AR22*'Kalkylvärden 1'!$A$112)+(AS22*'Kalkylvärden 1'!$A$114)))</f>
        <v>#DIV/0!</v>
      </c>
      <c r="AW22" s="275">
        <f>(B22*(H22+J22+(G22*'Kalkylvärden 1'!$G$9/60)))*((N22/100*'Kalkylvärden 1'!$B$195)+(O22/100*'Kalkylvärden 1'!$B$196)+(P22/100*'Kalkylvärden 1'!$B$197)+(Q22/100*'Kalkylvärden 1'!$B$198)+(R22/100*'Kalkylvärden 1'!$B$199)+(S22/100*'Kalkylvärden 1'!$B$200)+('Gods UA2'!T22/100*'Kalkylvärden 1'!$B$201)+('Gods UA2'!U22/100*'Kalkylvärden 1'!$B$202)+('Gods UA2'!V22/100*'Kalkylvärden 1'!$B$203)+('Gods UA2'!W22/100*'Kalkylvärden 1'!$B$204)+('Gods UA2'!X22/100*'Kalkylvärden 1'!$B$205)+('Gods UA2'!Y22/100*'Kalkylvärden 1'!$B$206))</f>
        <v>0</v>
      </c>
      <c r="AX22" s="275">
        <f>IF(AR22&lt;=0,AW22,(B22*(K22)/Projektspecifikt!$B$8)*((N22/100*'Kalkylvärden 1'!$B$195)+('Gods UA2'!O22/100*'Kalkylvärden 1'!$B$196)+('Gods UA2'!P22/100*'Kalkylvärden 1'!$B$197)+('Gods UA2'!Q22/100*'Kalkylvärden 1'!$B$198)+('Gods UA2'!R22/100*'Kalkylvärden 1'!$B$199)+('Gods UA2'!S22/100*'Kalkylvärden 1'!$B$200)+('Gods UA2'!T22/100*'Kalkylvärden 1'!$B$201)+('Gods UA2'!U22/100*'Kalkylvärden 1'!$B$202)+('Gods UA2'!V22/100*'Kalkylvärden 1'!$B$203)+('Gods UA2'!W22/100*'Kalkylvärden 1'!$B$204)+('Gods UA2'!X22/100*'Kalkylvärden 1'!$B$205)+('Gods UA2'!Y22/100*'Kalkylvärden 1'!$B$206)))</f>
        <v>0</v>
      </c>
      <c r="AY22"/>
      <c r="BB22" s="144"/>
      <c r="BC22" s="144"/>
      <c r="BD22" s="275"/>
      <c r="BE22" s="275"/>
      <c r="BF22" s="275"/>
      <c r="BG22" s="275"/>
      <c r="BH22" s="203"/>
      <c r="BI22" s="275"/>
      <c r="BJ22" s="275"/>
      <c r="BK22" s="275"/>
      <c r="BL22" s="275"/>
      <c r="BM22" s="275"/>
      <c r="BN22" s="1"/>
      <c r="BQ22"/>
      <c r="BR22" s="1"/>
      <c r="BS22"/>
      <c r="BT22" s="1"/>
      <c r="BU22"/>
      <c r="BW22" s="275"/>
      <c r="BY22" s="1"/>
    </row>
    <row r="23" spans="1:77" x14ac:dyDescent="0.25">
      <c r="A23" s="231" t="s">
        <v>329</v>
      </c>
      <c r="B23" s="262"/>
      <c r="C23" s="262"/>
      <c r="D23" s="239" t="e">
        <f t="shared" si="3"/>
        <v>#DIV/0!</v>
      </c>
      <c r="E23" s="307"/>
      <c r="F23" s="307"/>
      <c r="G23" s="262"/>
      <c r="H23" s="307"/>
      <c r="I23" s="262"/>
      <c r="J23" s="262"/>
      <c r="K23" s="338"/>
      <c r="L23" s="59">
        <f>K23/Projektspecifikt!$B$8</f>
        <v>0</v>
      </c>
      <c r="M23" s="339"/>
      <c r="N23" s="262"/>
      <c r="O23" s="262"/>
      <c r="P23" s="262"/>
      <c r="Q23" s="262"/>
      <c r="R23" s="262"/>
      <c r="S23" s="262"/>
      <c r="T23" s="262"/>
      <c r="U23" s="262"/>
      <c r="V23" s="262"/>
      <c r="W23" s="262"/>
      <c r="X23" s="262"/>
      <c r="Y23" s="262"/>
      <c r="Z23" s="233" t="str">
        <f t="shared" si="4"/>
        <v>FEL</v>
      </c>
      <c r="AA23" s="261">
        <f>'Gods UA1'!Y17</f>
        <v>20</v>
      </c>
      <c r="AB23" s="261">
        <f>'Gods UA1'!Z17</f>
        <v>10</v>
      </c>
      <c r="AC23" s="261">
        <f>'Gods UA1'!AA17</f>
        <v>50</v>
      </c>
      <c r="AD23" s="261">
        <v>0</v>
      </c>
      <c r="AE23" s="275" t="e">
        <f>IF(AD23=0,(('Kalkylvärden 1'!$D$97+AA23*('Kalkylvärden 1'!$D$98*(1-'Gods UA2'!AC23/100)+'Kalkylvärden 1'!$D$99*'Gods UA2'!AC23/100)+AB23*('Kalkylvärden 1'!$D$100*(1-'Gods UA2'!AC23/100)+'Kalkylvärden 1'!$D$101*'Gods UA2'!AC23/100))*E23/(E23+F23)+('Kalkylvärden 1'!$E$97+AA23*('Kalkylvärden 1'!$E$98*(1-'Gods UA2'!AC23/100)+'Kalkylvärden 1'!$E$99*'Gods UA2'!AC23/100)+AB23*('Kalkylvärden 1'!$E$100*(1-'Gods UA2'!AC23/100)+'Kalkylvärden 1'!$E$101*'Gods UA2'!AC23/100))*F23/(E23+F23)),((AA23+AB23)/('Kalkylvärden 1'!$H$98+'Kalkylvärden 1'!$H$99)*'Kalkylvärden 1'!$G$102))</f>
        <v>#DIV/0!</v>
      </c>
      <c r="AF23" s="361">
        <f>IF(AD23=0,('Kalkylvärden 1'!$D$103+AA23*'Kalkylvärden 1'!$D$104+'Gods UA2'!AB23*'Kalkylvärden 1'!$D$105),((AA23+AB23)/('Kalkylvärden 1'!$H$98+'Kalkylvärden 1'!$H$99)*'Kalkylvärden 1'!$G$105))</f>
        <v>54.767843200000002</v>
      </c>
      <c r="AG23" s="275" t="e">
        <f t="shared" si="0"/>
        <v>#DIV/0!</v>
      </c>
      <c r="AH23" s="275" t="e">
        <f>(AF23*(H23+J23)*60*2)+(AF23*G23*'Kalkylvärden 1'!$G$9*2)+(J23*'Kalkylvärden 1'!$G$10*'Kalkylvärden 1'!$M$100)+(M23*'Kalkylvärden 1'!$D$11*B23/C23)</f>
        <v>#DIV/0!</v>
      </c>
      <c r="AI23" s="275" t="e">
        <f t="shared" si="5"/>
        <v>#DIV/0!</v>
      </c>
      <c r="AJ23" s="275" t="e">
        <f t="shared" si="1"/>
        <v>#DIV/0!</v>
      </c>
      <c r="AK23" s="275">
        <f>(-B23*(E23+F23)*2*'Kalkylvärden 1'!$A$184)</f>
        <v>0</v>
      </c>
      <c r="AL23" s="275">
        <f>(-B23*(E23+F23)*2*'Kalkylvärden 1'!$A$186)</f>
        <v>0</v>
      </c>
      <c r="AM23" s="275">
        <f>(-B23*F23*2*'Kalkylvärden 1'!$A$188)</f>
        <v>0</v>
      </c>
      <c r="AN23" s="336">
        <f>IF(K23&lt;=0,0,((B23*K23*2)/Projektspecifikt!$B$7*'Kalkylvärden 1'!$A$180))</f>
        <v>0</v>
      </c>
      <c r="AO23" s="336">
        <f>IF(AS23&lt;=0,0,(B23*K23*2)/Projektspecifikt!$B$7*'Kalkylvärden 1'!$A$182)</f>
        <v>0</v>
      </c>
      <c r="AP23" s="336">
        <f t="shared" si="6"/>
        <v>0</v>
      </c>
      <c r="AQ23" s="275">
        <f t="shared" si="7"/>
        <v>0</v>
      </c>
      <c r="AR23" s="275">
        <f t="shared" si="8"/>
        <v>0</v>
      </c>
      <c r="AS23" s="332">
        <f>('Gods UA2'!K23/Projektspecifikt!$B$8)*B23:B52</f>
        <v>0</v>
      </c>
      <c r="AT23" s="275">
        <f>(H23+(G23*'Kalkylvärden 1'!$G$9/60)+J23)*B23:B52</f>
        <v>0</v>
      </c>
      <c r="AU23" s="275" t="e">
        <f t="shared" si="2"/>
        <v>#DIV/0!</v>
      </c>
      <c r="AV23" s="275" t="e">
        <f>IF(AR23&lt;=0,AU23,((AR23*'Kalkylvärden 1'!$A$112)+(AS23*'Kalkylvärden 1'!$A$114)))</f>
        <v>#DIV/0!</v>
      </c>
      <c r="AW23" s="275">
        <f>(B23*(H23+J23+(G23*'Kalkylvärden 1'!$G$9/60)))*((N23/100*'Kalkylvärden 1'!$B$195)+(O23/100*'Kalkylvärden 1'!$B$196)+(P23/100*'Kalkylvärden 1'!$B$197)+(Q23/100*'Kalkylvärden 1'!$B$198)+(R23/100*'Kalkylvärden 1'!$B$199)+(S23/100*'Kalkylvärden 1'!$B$200)+('Gods UA2'!T23/100*'Kalkylvärden 1'!$B$201)+('Gods UA2'!U23/100*'Kalkylvärden 1'!$B$202)+('Gods UA2'!V23/100*'Kalkylvärden 1'!$B$203)+('Gods UA2'!W23/100*'Kalkylvärden 1'!$B$204)+('Gods UA2'!X23/100*'Kalkylvärden 1'!$B$205)+('Gods UA2'!Y23/100*'Kalkylvärden 1'!$B$206))</f>
        <v>0</v>
      </c>
      <c r="AX23" s="275">
        <f>IF(AR23&lt;=0,AW23,(B23*(K23)/Projektspecifikt!$B$8)*((N23/100*'Kalkylvärden 1'!$B$195)+('Gods UA2'!O23/100*'Kalkylvärden 1'!$B$196)+('Gods UA2'!P23/100*'Kalkylvärden 1'!$B$197)+('Gods UA2'!Q23/100*'Kalkylvärden 1'!$B$198)+('Gods UA2'!R23/100*'Kalkylvärden 1'!$B$199)+('Gods UA2'!S23/100*'Kalkylvärden 1'!$B$200)+('Gods UA2'!T23/100*'Kalkylvärden 1'!$B$201)+('Gods UA2'!U23/100*'Kalkylvärden 1'!$B$202)+('Gods UA2'!V23/100*'Kalkylvärden 1'!$B$203)+('Gods UA2'!W23/100*'Kalkylvärden 1'!$B$204)+('Gods UA2'!X23/100*'Kalkylvärden 1'!$B$205)+('Gods UA2'!Y23/100*'Kalkylvärden 1'!$B$206)))</f>
        <v>0</v>
      </c>
      <c r="AY23"/>
      <c r="BB23" s="144"/>
      <c r="BC23" s="144"/>
      <c r="BD23" s="275"/>
      <c r="BE23" s="275"/>
      <c r="BF23" s="275"/>
      <c r="BG23" s="275"/>
      <c r="BH23" s="203"/>
      <c r="BI23" s="275"/>
      <c r="BJ23" s="275"/>
      <c r="BK23" s="275"/>
      <c r="BL23" s="275"/>
      <c r="BM23" s="275"/>
      <c r="BN23" s="1"/>
      <c r="BQ23"/>
      <c r="BR23" s="1"/>
      <c r="BS23"/>
      <c r="BT23" s="1"/>
      <c r="BU23"/>
      <c r="BW23" s="275"/>
      <c r="BY23" s="1"/>
    </row>
    <row r="24" spans="1:77" x14ac:dyDescent="0.25">
      <c r="A24" s="231" t="s">
        <v>329</v>
      </c>
      <c r="B24" s="262"/>
      <c r="C24" s="262"/>
      <c r="D24" s="239" t="e">
        <f t="shared" si="3"/>
        <v>#DIV/0!</v>
      </c>
      <c r="E24" s="307"/>
      <c r="F24" s="307"/>
      <c r="G24" s="262"/>
      <c r="H24" s="307"/>
      <c r="I24" s="262"/>
      <c r="J24" s="262"/>
      <c r="K24" s="338"/>
      <c r="L24" s="59">
        <f>K24/Projektspecifikt!$B$8</f>
        <v>0</v>
      </c>
      <c r="M24" s="339"/>
      <c r="N24" s="262"/>
      <c r="O24" s="262"/>
      <c r="P24" s="262"/>
      <c r="Q24" s="262"/>
      <c r="R24" s="262"/>
      <c r="S24" s="262"/>
      <c r="T24" s="262"/>
      <c r="U24" s="262"/>
      <c r="V24" s="262"/>
      <c r="W24" s="262"/>
      <c r="X24" s="262"/>
      <c r="Y24" s="262"/>
      <c r="Z24" s="233" t="str">
        <f t="shared" si="4"/>
        <v>FEL</v>
      </c>
      <c r="AA24" s="261">
        <f>'Gods UA1'!Y18</f>
        <v>20</v>
      </c>
      <c r="AB24" s="261">
        <f>'Gods UA1'!Z18</f>
        <v>10</v>
      </c>
      <c r="AC24" s="261">
        <f>'Gods UA1'!AA18</f>
        <v>50</v>
      </c>
      <c r="AD24" s="261">
        <v>0</v>
      </c>
      <c r="AE24" s="275" t="e">
        <f>IF(AD24=0,(('Kalkylvärden 1'!$D$97+AA24*('Kalkylvärden 1'!$D$98*(1-'Gods UA2'!AC24/100)+'Kalkylvärden 1'!$D$99*'Gods UA2'!AC24/100)+AB24*('Kalkylvärden 1'!$D$100*(1-'Gods UA2'!AC24/100)+'Kalkylvärden 1'!$D$101*'Gods UA2'!AC24/100))*E24/(E24+F24)+('Kalkylvärden 1'!$E$97+AA24*('Kalkylvärden 1'!$E$98*(1-'Gods UA2'!AC24/100)+'Kalkylvärden 1'!$E$99*'Gods UA2'!AC24/100)+AB24*('Kalkylvärden 1'!$E$100*(1-'Gods UA2'!AC24/100)+'Kalkylvärden 1'!$E$101*'Gods UA2'!AC24/100))*F24/(E24+F24)),((AA24+AB24)/('Kalkylvärden 1'!$H$98+'Kalkylvärden 1'!$H$99)*'Kalkylvärden 1'!$G$102))</f>
        <v>#DIV/0!</v>
      </c>
      <c r="AF24" s="361">
        <f>IF(AD24=0,('Kalkylvärden 1'!$D$103+AA24*'Kalkylvärden 1'!$D$104+'Gods UA2'!AB24*'Kalkylvärden 1'!$D$105),((AA24+AB24)/('Kalkylvärden 1'!$H$98+'Kalkylvärden 1'!$H$99)*'Kalkylvärden 1'!$G$105))</f>
        <v>54.767843200000002</v>
      </c>
      <c r="AG24" s="275" t="e">
        <f t="shared" si="0"/>
        <v>#DIV/0!</v>
      </c>
      <c r="AH24" s="275" t="e">
        <f>(AF24*(H24+J24)*60*2)+(AF24*G24*'Kalkylvärden 1'!$G$9*2)+(J24*'Kalkylvärden 1'!$G$10*'Kalkylvärden 1'!$M$100)+(M24*'Kalkylvärden 1'!$D$11*B24/C24)</f>
        <v>#DIV/0!</v>
      </c>
      <c r="AI24" s="275" t="e">
        <f t="shared" si="5"/>
        <v>#DIV/0!</v>
      </c>
      <c r="AJ24" s="275" t="e">
        <f t="shared" si="1"/>
        <v>#DIV/0!</v>
      </c>
      <c r="AK24" s="275">
        <f>(-B24*(E24+F24)*2*'Kalkylvärden 1'!$A$184)</f>
        <v>0</v>
      </c>
      <c r="AL24" s="275">
        <f>(-B24*(E24+F24)*2*'Kalkylvärden 1'!$A$186)</f>
        <v>0</v>
      </c>
      <c r="AM24" s="275">
        <f>(-B24*F24*2*'Kalkylvärden 1'!$A$188)</f>
        <v>0</v>
      </c>
      <c r="AN24" s="336">
        <f>IF(K24&lt;=0,0,((B24*K24*2)/Projektspecifikt!$B$7*'Kalkylvärden 1'!$A$180))</f>
        <v>0</v>
      </c>
      <c r="AO24" s="336">
        <f>IF(AS24&lt;=0,0,(B24*K24*2)/Projektspecifikt!$B$7*'Kalkylvärden 1'!$A$182)</f>
        <v>0</v>
      </c>
      <c r="AP24" s="336">
        <f t="shared" si="6"/>
        <v>0</v>
      </c>
      <c r="AQ24" s="275">
        <f t="shared" si="7"/>
        <v>0</v>
      </c>
      <c r="AR24" s="275">
        <f t="shared" si="8"/>
        <v>0</v>
      </c>
      <c r="AS24" s="332">
        <f>('Gods UA2'!K24/Projektspecifikt!$B$8)*B24:B53</f>
        <v>0</v>
      </c>
      <c r="AT24" s="275">
        <f>(H24+(G24*'Kalkylvärden 1'!$G$9/60)+J24)*B24:B53</f>
        <v>0</v>
      </c>
      <c r="AU24" s="275" t="e">
        <f t="shared" si="2"/>
        <v>#DIV/0!</v>
      </c>
      <c r="AV24" s="275" t="e">
        <f>IF(AR24&lt;=0,AU24,((AR24*'Kalkylvärden 1'!$A$112)+(AS24*'Kalkylvärden 1'!$A$114)))</f>
        <v>#DIV/0!</v>
      </c>
      <c r="AW24" s="275">
        <f>(B24*(H24+J24+(G24*'Kalkylvärden 1'!$G$9/60)))*((N24/100*'Kalkylvärden 1'!$B$195)+(O24/100*'Kalkylvärden 1'!$B$196)+(P24/100*'Kalkylvärden 1'!$B$197)+(Q24/100*'Kalkylvärden 1'!$B$198)+(R24/100*'Kalkylvärden 1'!$B$199)+(S24/100*'Kalkylvärden 1'!$B$200)+('Gods UA2'!T24/100*'Kalkylvärden 1'!$B$201)+('Gods UA2'!U24/100*'Kalkylvärden 1'!$B$202)+('Gods UA2'!V24/100*'Kalkylvärden 1'!$B$203)+('Gods UA2'!W24/100*'Kalkylvärden 1'!$B$204)+('Gods UA2'!X24/100*'Kalkylvärden 1'!$B$205)+('Gods UA2'!Y24/100*'Kalkylvärden 1'!$B$206))</f>
        <v>0</v>
      </c>
      <c r="AX24" s="275">
        <f>IF(AR24&lt;=0,AW24,(B24*(K24)/Projektspecifikt!$B$8)*((N24/100*'Kalkylvärden 1'!$B$195)+('Gods UA2'!O24/100*'Kalkylvärden 1'!$B$196)+('Gods UA2'!P24/100*'Kalkylvärden 1'!$B$197)+('Gods UA2'!Q24/100*'Kalkylvärden 1'!$B$198)+('Gods UA2'!R24/100*'Kalkylvärden 1'!$B$199)+('Gods UA2'!S24/100*'Kalkylvärden 1'!$B$200)+('Gods UA2'!T24/100*'Kalkylvärden 1'!$B$201)+('Gods UA2'!U24/100*'Kalkylvärden 1'!$B$202)+('Gods UA2'!V24/100*'Kalkylvärden 1'!$B$203)+('Gods UA2'!W24/100*'Kalkylvärden 1'!$B$204)+('Gods UA2'!X24/100*'Kalkylvärden 1'!$B$205)+('Gods UA2'!Y24/100*'Kalkylvärden 1'!$B$206)))</f>
        <v>0</v>
      </c>
      <c r="AY24"/>
      <c r="BB24" s="144"/>
      <c r="BC24" s="144"/>
      <c r="BD24" s="275"/>
      <c r="BE24" s="275"/>
      <c r="BF24" s="275"/>
      <c r="BG24" s="275"/>
      <c r="BH24" s="203"/>
      <c r="BI24" s="275"/>
      <c r="BJ24" s="275"/>
      <c r="BK24" s="275"/>
      <c r="BL24" s="275"/>
      <c r="BM24" s="275"/>
      <c r="BN24" s="1"/>
      <c r="BQ24"/>
      <c r="BR24" s="1"/>
      <c r="BS24"/>
      <c r="BT24" s="1"/>
      <c r="BU24"/>
      <c r="BW24" s="275"/>
      <c r="BY24" s="1"/>
    </row>
    <row r="25" spans="1:77" x14ac:dyDescent="0.25">
      <c r="A25" s="231" t="s">
        <v>329</v>
      </c>
      <c r="B25" s="262"/>
      <c r="C25" s="262"/>
      <c r="D25" s="239" t="e">
        <f t="shared" si="3"/>
        <v>#DIV/0!</v>
      </c>
      <c r="E25" s="307"/>
      <c r="F25" s="307"/>
      <c r="G25" s="262"/>
      <c r="H25" s="307"/>
      <c r="I25" s="262"/>
      <c r="J25" s="262"/>
      <c r="K25" s="338"/>
      <c r="L25" s="59">
        <f>K25/Projektspecifikt!$B$8</f>
        <v>0</v>
      </c>
      <c r="M25" s="339"/>
      <c r="N25" s="262"/>
      <c r="O25" s="262"/>
      <c r="P25" s="262"/>
      <c r="Q25" s="262"/>
      <c r="R25" s="262"/>
      <c r="S25" s="262"/>
      <c r="T25" s="262"/>
      <c r="U25" s="262"/>
      <c r="V25" s="262"/>
      <c r="W25" s="262"/>
      <c r="X25" s="262"/>
      <c r="Y25" s="262"/>
      <c r="Z25" s="233" t="str">
        <f t="shared" si="4"/>
        <v>FEL</v>
      </c>
      <c r="AA25" s="261">
        <f>'Gods UA1'!Y19</f>
        <v>20</v>
      </c>
      <c r="AB25" s="261">
        <f>'Gods UA1'!Z19</f>
        <v>10</v>
      </c>
      <c r="AC25" s="261">
        <f>'Gods UA1'!AA19</f>
        <v>50</v>
      </c>
      <c r="AD25" s="261">
        <v>0</v>
      </c>
      <c r="AE25" s="275" t="e">
        <f>IF(AD25=0,(('Kalkylvärden 1'!$D$97+AA25*('Kalkylvärden 1'!$D$98*(1-'Gods UA2'!AC25/100)+'Kalkylvärden 1'!$D$99*'Gods UA2'!AC25/100)+AB25*('Kalkylvärden 1'!$D$100*(1-'Gods UA2'!AC25/100)+'Kalkylvärden 1'!$D$101*'Gods UA2'!AC25/100))*E25/(E25+F25)+('Kalkylvärden 1'!$E$97+AA25*('Kalkylvärden 1'!$E$98*(1-'Gods UA2'!AC25/100)+'Kalkylvärden 1'!$E$99*'Gods UA2'!AC25/100)+AB25*('Kalkylvärden 1'!$E$100*(1-'Gods UA2'!AC25/100)+'Kalkylvärden 1'!$E$101*'Gods UA2'!AC25/100))*F25/(E25+F25)),((AA25+AB25)/('Kalkylvärden 1'!$H$98+'Kalkylvärden 1'!$H$99)*'Kalkylvärden 1'!$G$102))</f>
        <v>#DIV/0!</v>
      </c>
      <c r="AF25" s="361">
        <f>IF(AD25=0,('Kalkylvärden 1'!$D$103+AA25*'Kalkylvärden 1'!$D$104+'Gods UA2'!AB25*'Kalkylvärden 1'!$D$105),((AA25+AB25)/('Kalkylvärden 1'!$H$98+'Kalkylvärden 1'!$H$99)*'Kalkylvärden 1'!$G$105))</f>
        <v>54.767843200000002</v>
      </c>
      <c r="AG25" s="275" t="e">
        <f t="shared" si="0"/>
        <v>#DIV/0!</v>
      </c>
      <c r="AH25" s="275" t="e">
        <f>(AF25*(H25+J25)*60*2)+(AF25*G25*'Kalkylvärden 1'!$G$9*2)+(J25*'Kalkylvärden 1'!$G$10*'Kalkylvärden 1'!$M$100)+(M25*'Kalkylvärden 1'!$D$11*B25/C25)</f>
        <v>#DIV/0!</v>
      </c>
      <c r="AI25" s="275" t="e">
        <f t="shared" si="5"/>
        <v>#DIV/0!</v>
      </c>
      <c r="AJ25" s="275" t="e">
        <f t="shared" si="1"/>
        <v>#DIV/0!</v>
      </c>
      <c r="AK25" s="275">
        <f>(-B25*(E25+F25)*2*'Kalkylvärden 1'!$A$184)</f>
        <v>0</v>
      </c>
      <c r="AL25" s="275">
        <f>(-B25*(E25+F25)*2*'Kalkylvärden 1'!$A$186)</f>
        <v>0</v>
      </c>
      <c r="AM25" s="275">
        <f>(-B25*F25*2*'Kalkylvärden 1'!$A$188)</f>
        <v>0</v>
      </c>
      <c r="AN25" s="336">
        <f>IF(K25&lt;=0,0,((B25*K25*2)/Projektspecifikt!$B$7*'Kalkylvärden 1'!$A$180))</f>
        <v>0</v>
      </c>
      <c r="AO25" s="336">
        <f>IF(AS25&lt;=0,0,(B25*K25*2)/Projektspecifikt!$B$7*'Kalkylvärden 1'!$A$182)</f>
        <v>0</v>
      </c>
      <c r="AP25" s="336">
        <f t="shared" si="6"/>
        <v>0</v>
      </c>
      <c r="AQ25" s="275">
        <f t="shared" si="7"/>
        <v>0</v>
      </c>
      <c r="AR25" s="275">
        <f t="shared" si="8"/>
        <v>0</v>
      </c>
      <c r="AS25" s="332">
        <f>('Gods UA2'!K25/Projektspecifikt!$B$8)*B25:B54</f>
        <v>0</v>
      </c>
      <c r="AT25" s="275">
        <f>(H25+(G25*'Kalkylvärden 1'!$G$9/60)+J25)*B25:B54</f>
        <v>0</v>
      </c>
      <c r="AU25" s="275" t="e">
        <f t="shared" si="2"/>
        <v>#DIV/0!</v>
      </c>
      <c r="AV25" s="275" t="e">
        <f>IF(AR25&lt;=0,AU25,((AR25*'Kalkylvärden 1'!$A$112)+(AS25*'Kalkylvärden 1'!$A$114)))</f>
        <v>#DIV/0!</v>
      </c>
      <c r="AW25" s="275">
        <f>(B25*(H25+J25+(G25*'Kalkylvärden 1'!$G$9/60)))*((N25/100*'Kalkylvärden 1'!$B$195)+(O25/100*'Kalkylvärden 1'!$B$196)+(P25/100*'Kalkylvärden 1'!$B$197)+(Q25/100*'Kalkylvärden 1'!$B$198)+(R25/100*'Kalkylvärden 1'!$B$199)+(S25/100*'Kalkylvärden 1'!$B$200)+('Gods UA2'!T25/100*'Kalkylvärden 1'!$B$201)+('Gods UA2'!U25/100*'Kalkylvärden 1'!$B$202)+('Gods UA2'!V25/100*'Kalkylvärden 1'!$B$203)+('Gods UA2'!W25/100*'Kalkylvärden 1'!$B$204)+('Gods UA2'!X25/100*'Kalkylvärden 1'!$B$205)+('Gods UA2'!Y25/100*'Kalkylvärden 1'!$B$206))</f>
        <v>0</v>
      </c>
      <c r="AX25" s="275">
        <f>IF(AR25&lt;=0,AW25,(B25*(K25)/Projektspecifikt!$B$8)*((N25/100*'Kalkylvärden 1'!$B$195)+('Gods UA2'!O25/100*'Kalkylvärden 1'!$B$196)+('Gods UA2'!P25/100*'Kalkylvärden 1'!$B$197)+('Gods UA2'!Q25/100*'Kalkylvärden 1'!$B$198)+('Gods UA2'!R25/100*'Kalkylvärden 1'!$B$199)+('Gods UA2'!S25/100*'Kalkylvärden 1'!$B$200)+('Gods UA2'!T25/100*'Kalkylvärden 1'!$B$201)+('Gods UA2'!U25/100*'Kalkylvärden 1'!$B$202)+('Gods UA2'!V25/100*'Kalkylvärden 1'!$B$203)+('Gods UA2'!W25/100*'Kalkylvärden 1'!$B$204)+('Gods UA2'!X25/100*'Kalkylvärden 1'!$B$205)+('Gods UA2'!Y25/100*'Kalkylvärden 1'!$B$206)))</f>
        <v>0</v>
      </c>
      <c r="AY25"/>
      <c r="BB25" s="144"/>
      <c r="BC25" s="144"/>
      <c r="BD25" s="275"/>
      <c r="BE25" s="275"/>
      <c r="BF25" s="275"/>
      <c r="BG25" s="275"/>
      <c r="BH25" s="203"/>
      <c r="BI25" s="275"/>
      <c r="BJ25" s="275"/>
      <c r="BK25" s="275"/>
      <c r="BL25" s="275"/>
      <c r="BM25" s="275"/>
      <c r="BN25" s="1"/>
      <c r="BQ25"/>
      <c r="BR25" s="1"/>
      <c r="BS25"/>
      <c r="BT25" s="1"/>
      <c r="BU25"/>
      <c r="BW25" s="275"/>
      <c r="BY25" s="1"/>
    </row>
    <row r="26" spans="1:77" x14ac:dyDescent="0.25">
      <c r="A26" s="231" t="s">
        <v>329</v>
      </c>
      <c r="B26" s="262"/>
      <c r="C26" s="262"/>
      <c r="D26" s="239" t="e">
        <f t="shared" si="3"/>
        <v>#DIV/0!</v>
      </c>
      <c r="E26" s="307"/>
      <c r="F26" s="307"/>
      <c r="G26" s="262"/>
      <c r="H26" s="307"/>
      <c r="I26" s="262"/>
      <c r="J26" s="262"/>
      <c r="K26" s="338"/>
      <c r="L26" s="59">
        <f>K26/Projektspecifikt!$B$8</f>
        <v>0</v>
      </c>
      <c r="M26" s="339"/>
      <c r="N26" s="262"/>
      <c r="O26" s="262"/>
      <c r="P26" s="262"/>
      <c r="Q26" s="262"/>
      <c r="R26" s="262"/>
      <c r="S26" s="262"/>
      <c r="T26" s="262"/>
      <c r="U26" s="262"/>
      <c r="V26" s="262"/>
      <c r="W26" s="262"/>
      <c r="X26" s="262"/>
      <c r="Y26" s="262"/>
      <c r="Z26" s="233" t="str">
        <f t="shared" si="4"/>
        <v>FEL</v>
      </c>
      <c r="AA26" s="261">
        <f>'Gods UA1'!Y20</f>
        <v>20</v>
      </c>
      <c r="AB26" s="261">
        <f>'Gods UA1'!Z20</f>
        <v>10</v>
      </c>
      <c r="AC26" s="261">
        <f>'Gods UA1'!AA20</f>
        <v>50</v>
      </c>
      <c r="AD26" s="261">
        <v>0</v>
      </c>
      <c r="AE26" s="275" t="e">
        <f>IF(AD26=0,(('Kalkylvärden 1'!$D$97+AA26*('Kalkylvärden 1'!$D$98*(1-'Gods UA2'!AC26/100)+'Kalkylvärden 1'!$D$99*'Gods UA2'!AC26/100)+AB26*('Kalkylvärden 1'!$D$100*(1-'Gods UA2'!AC26/100)+'Kalkylvärden 1'!$D$101*'Gods UA2'!AC26/100))*E26/(E26+F26)+('Kalkylvärden 1'!$E$97+AA26*('Kalkylvärden 1'!$E$98*(1-'Gods UA2'!AC26/100)+'Kalkylvärden 1'!$E$99*'Gods UA2'!AC26/100)+AB26*('Kalkylvärden 1'!$E$100*(1-'Gods UA2'!AC26/100)+'Kalkylvärden 1'!$E$101*'Gods UA2'!AC26/100))*F26/(E26+F26)),((AA26+AB26)/('Kalkylvärden 1'!$H$98+'Kalkylvärden 1'!$H$99)*'Kalkylvärden 1'!$G$102))</f>
        <v>#DIV/0!</v>
      </c>
      <c r="AF26" s="361">
        <f>IF(AD26=0,('Kalkylvärden 1'!$D$103+AA26*'Kalkylvärden 1'!$D$104+'Gods UA2'!AB26*'Kalkylvärden 1'!$D$105),((AA26+AB26)/('Kalkylvärden 1'!$H$98+'Kalkylvärden 1'!$H$99)*'Kalkylvärden 1'!$G$105))</f>
        <v>54.767843200000002</v>
      </c>
      <c r="AG26" s="275" t="e">
        <f t="shared" si="0"/>
        <v>#DIV/0!</v>
      </c>
      <c r="AH26" s="275" t="e">
        <f>(AF26*(H26+J26)*60*2)+(AF26*G26*'Kalkylvärden 1'!$G$9*2)+(J26*'Kalkylvärden 1'!$G$10*'Kalkylvärden 1'!$M$100)+(M26*'Kalkylvärden 1'!$D$11*B26/C26)</f>
        <v>#DIV/0!</v>
      </c>
      <c r="AI26" s="275" t="e">
        <f t="shared" si="5"/>
        <v>#DIV/0!</v>
      </c>
      <c r="AJ26" s="275" t="e">
        <f t="shared" si="1"/>
        <v>#DIV/0!</v>
      </c>
      <c r="AK26" s="275">
        <f>(-B26*(E26+F26)*2*'Kalkylvärden 1'!$A$184)</f>
        <v>0</v>
      </c>
      <c r="AL26" s="275">
        <f>(-B26*(E26+F26)*2*'Kalkylvärden 1'!$A$186)</f>
        <v>0</v>
      </c>
      <c r="AM26" s="275">
        <f>(-B26*F26*2*'Kalkylvärden 1'!$A$188)</f>
        <v>0</v>
      </c>
      <c r="AN26" s="336">
        <f>IF(K26&lt;=0,0,((B26*K26*2)/Projektspecifikt!$B$7*'Kalkylvärden 1'!$A$180))</f>
        <v>0</v>
      </c>
      <c r="AO26" s="336">
        <f>IF(AS26&lt;=0,0,(B26*K26*2)/Projektspecifikt!$B$7*'Kalkylvärden 1'!$A$182)</f>
        <v>0</v>
      </c>
      <c r="AP26" s="336">
        <f t="shared" si="6"/>
        <v>0</v>
      </c>
      <c r="AQ26" s="275">
        <f t="shared" si="7"/>
        <v>0</v>
      </c>
      <c r="AR26" s="275">
        <f t="shared" si="8"/>
        <v>0</v>
      </c>
      <c r="AS26" s="332">
        <f>('Gods UA2'!K26/Projektspecifikt!$B$8)*B26:B55</f>
        <v>0</v>
      </c>
      <c r="AT26" s="275">
        <f>(H26+(G26*'Kalkylvärden 1'!$G$9/60)+J26)*B26:B55</f>
        <v>0</v>
      </c>
      <c r="AU26" s="275" t="e">
        <f t="shared" si="2"/>
        <v>#DIV/0!</v>
      </c>
      <c r="AV26" s="275" t="e">
        <f>IF(AR26&lt;=0,AU26,((AR26*'Kalkylvärden 1'!$A$112)+(AS26*'Kalkylvärden 1'!$A$114)))</f>
        <v>#DIV/0!</v>
      </c>
      <c r="AW26" s="275">
        <f>(B26*(H26+J26+(G26*'Kalkylvärden 1'!$G$9/60)))*((N26/100*'Kalkylvärden 1'!$B$195)+(O26/100*'Kalkylvärden 1'!$B$196)+(P26/100*'Kalkylvärden 1'!$B$197)+(Q26/100*'Kalkylvärden 1'!$B$198)+(R26/100*'Kalkylvärden 1'!$B$199)+(S26/100*'Kalkylvärden 1'!$B$200)+('Gods UA2'!T26/100*'Kalkylvärden 1'!$B$201)+('Gods UA2'!U26/100*'Kalkylvärden 1'!$B$202)+('Gods UA2'!V26/100*'Kalkylvärden 1'!$B$203)+('Gods UA2'!W26/100*'Kalkylvärden 1'!$B$204)+('Gods UA2'!X26/100*'Kalkylvärden 1'!$B$205)+('Gods UA2'!Y26/100*'Kalkylvärden 1'!$B$206))</f>
        <v>0</v>
      </c>
      <c r="AX26" s="275">
        <f>IF(AR26&lt;=0,AW26,(B26*(K26)/Projektspecifikt!$B$8)*((N26/100*'Kalkylvärden 1'!$B$195)+('Gods UA2'!O26/100*'Kalkylvärden 1'!$B$196)+('Gods UA2'!P26/100*'Kalkylvärden 1'!$B$197)+('Gods UA2'!Q26/100*'Kalkylvärden 1'!$B$198)+('Gods UA2'!R26/100*'Kalkylvärden 1'!$B$199)+('Gods UA2'!S26/100*'Kalkylvärden 1'!$B$200)+('Gods UA2'!T26/100*'Kalkylvärden 1'!$B$201)+('Gods UA2'!U26/100*'Kalkylvärden 1'!$B$202)+('Gods UA2'!V26/100*'Kalkylvärden 1'!$B$203)+('Gods UA2'!W26/100*'Kalkylvärden 1'!$B$204)+('Gods UA2'!X26/100*'Kalkylvärden 1'!$B$205)+('Gods UA2'!Y26/100*'Kalkylvärden 1'!$B$206)))</f>
        <v>0</v>
      </c>
      <c r="AY26"/>
      <c r="BB26" s="144"/>
      <c r="BC26" s="144"/>
      <c r="BD26" s="275"/>
      <c r="BE26" s="275"/>
      <c r="BF26" s="275"/>
      <c r="BG26" s="275"/>
      <c r="BH26" s="203"/>
      <c r="BI26" s="275"/>
      <c r="BJ26" s="275"/>
      <c r="BK26" s="275"/>
      <c r="BL26" s="275"/>
      <c r="BM26" s="275"/>
      <c r="BN26" s="1"/>
      <c r="BQ26"/>
      <c r="BR26" s="1"/>
      <c r="BS26"/>
      <c r="BT26" s="1"/>
      <c r="BU26"/>
      <c r="BW26" s="275"/>
      <c r="BY26" s="1"/>
    </row>
    <row r="27" spans="1:77" x14ac:dyDescent="0.25">
      <c r="A27" s="231" t="s">
        <v>329</v>
      </c>
      <c r="B27" s="262"/>
      <c r="C27" s="262"/>
      <c r="D27" s="239" t="e">
        <f t="shared" si="3"/>
        <v>#DIV/0!</v>
      </c>
      <c r="E27" s="307"/>
      <c r="F27" s="307"/>
      <c r="G27" s="262"/>
      <c r="H27" s="307"/>
      <c r="I27" s="262"/>
      <c r="J27" s="262"/>
      <c r="K27" s="338"/>
      <c r="L27" s="59">
        <f>K27/Projektspecifikt!$B$8</f>
        <v>0</v>
      </c>
      <c r="M27" s="339"/>
      <c r="N27" s="262"/>
      <c r="O27" s="262"/>
      <c r="P27" s="262"/>
      <c r="Q27" s="262"/>
      <c r="R27" s="262"/>
      <c r="S27" s="262"/>
      <c r="T27" s="262"/>
      <c r="U27" s="262"/>
      <c r="V27" s="262"/>
      <c r="W27" s="262"/>
      <c r="X27" s="262"/>
      <c r="Y27" s="262"/>
      <c r="Z27" s="233" t="str">
        <f t="shared" si="4"/>
        <v>FEL</v>
      </c>
      <c r="AA27" s="261">
        <f>'Gods UA1'!Y21</f>
        <v>20</v>
      </c>
      <c r="AB27" s="261">
        <f>'Gods UA1'!Z21</f>
        <v>10</v>
      </c>
      <c r="AC27" s="261">
        <f>'Gods UA1'!AA21</f>
        <v>50</v>
      </c>
      <c r="AD27" s="261">
        <v>0</v>
      </c>
      <c r="AE27" s="275" t="e">
        <f>IF(AD27=0,(('Kalkylvärden 1'!$D$97+AA27*('Kalkylvärden 1'!$D$98*(1-'Gods UA2'!AC27/100)+'Kalkylvärden 1'!$D$99*'Gods UA2'!AC27/100)+AB27*('Kalkylvärden 1'!$D$100*(1-'Gods UA2'!AC27/100)+'Kalkylvärden 1'!$D$101*'Gods UA2'!AC27/100))*E27/(E27+F27)+('Kalkylvärden 1'!$E$97+AA27*('Kalkylvärden 1'!$E$98*(1-'Gods UA2'!AC27/100)+'Kalkylvärden 1'!$E$99*'Gods UA2'!AC27/100)+AB27*('Kalkylvärden 1'!$E$100*(1-'Gods UA2'!AC27/100)+'Kalkylvärden 1'!$E$101*'Gods UA2'!AC27/100))*F27/(E27+F27)),((AA27+AB27)/('Kalkylvärden 1'!$H$98+'Kalkylvärden 1'!$H$99)*'Kalkylvärden 1'!$G$102))</f>
        <v>#DIV/0!</v>
      </c>
      <c r="AF27" s="361">
        <f>IF(AD27=0,('Kalkylvärden 1'!$D$103+AA27*'Kalkylvärden 1'!$D$104+'Gods UA2'!AB27*'Kalkylvärden 1'!$D$105),((AA27+AB27)/('Kalkylvärden 1'!$H$98+'Kalkylvärden 1'!$H$99)*'Kalkylvärden 1'!$G$105))</f>
        <v>54.767843200000002</v>
      </c>
      <c r="AG27" s="275" t="e">
        <f t="shared" si="0"/>
        <v>#DIV/0!</v>
      </c>
      <c r="AH27" s="275" t="e">
        <f>(AF27*(H27+J27)*60*2)+(AF27*G27*'Kalkylvärden 1'!$G$9*2)+(J27*'Kalkylvärden 1'!$G$10*'Kalkylvärden 1'!$M$100)+(M27*'Kalkylvärden 1'!$D$11*B27/C27)</f>
        <v>#DIV/0!</v>
      </c>
      <c r="AI27" s="275" t="e">
        <f t="shared" si="5"/>
        <v>#DIV/0!</v>
      </c>
      <c r="AJ27" s="275" t="e">
        <f t="shared" si="1"/>
        <v>#DIV/0!</v>
      </c>
      <c r="AK27" s="275">
        <f>(-B27*(E27+F27)*2*'Kalkylvärden 1'!$A$184)</f>
        <v>0</v>
      </c>
      <c r="AL27" s="275">
        <f>(-B27*(E27+F27)*2*'Kalkylvärden 1'!$A$186)</f>
        <v>0</v>
      </c>
      <c r="AM27" s="275">
        <f>(-B27*F27*2*'Kalkylvärden 1'!$A$188)</f>
        <v>0</v>
      </c>
      <c r="AN27" s="336">
        <f>IF(K27&lt;=0,0,((B27*K27*2)/Projektspecifikt!$B$7*'Kalkylvärden 1'!$A$180))</f>
        <v>0</v>
      </c>
      <c r="AO27" s="336">
        <f>IF(AS27&lt;=0,0,(B27*K27*2)/Projektspecifikt!$B$7*'Kalkylvärden 1'!$A$182)</f>
        <v>0</v>
      </c>
      <c r="AP27" s="336">
        <f t="shared" si="6"/>
        <v>0</v>
      </c>
      <c r="AQ27" s="275">
        <f t="shared" si="7"/>
        <v>0</v>
      </c>
      <c r="AR27" s="275">
        <f t="shared" si="8"/>
        <v>0</v>
      </c>
      <c r="AS27" s="332">
        <f>('Gods UA2'!K27/Projektspecifikt!$B$8)*B27:B56</f>
        <v>0</v>
      </c>
      <c r="AT27" s="275">
        <f>(H27+(G27*'Kalkylvärden 1'!$G$9/60)+J27)*B27:B56</f>
        <v>0</v>
      </c>
      <c r="AU27" s="275" t="e">
        <f t="shared" si="2"/>
        <v>#DIV/0!</v>
      </c>
      <c r="AV27" s="275" t="e">
        <f>IF(AR27&lt;=0,AU27,((AR27*'Kalkylvärden 1'!$A$112)+(AS27*'Kalkylvärden 1'!$A$114)))</f>
        <v>#DIV/0!</v>
      </c>
      <c r="AW27" s="275">
        <f>(B27*(H27+J27+(G27*'Kalkylvärden 1'!$G$9/60)))*((N27/100*'Kalkylvärden 1'!$B$195)+(O27/100*'Kalkylvärden 1'!$B$196)+(P27/100*'Kalkylvärden 1'!$B$197)+(Q27/100*'Kalkylvärden 1'!$B$198)+(R27/100*'Kalkylvärden 1'!$B$199)+(S27/100*'Kalkylvärden 1'!$B$200)+('Gods UA2'!T27/100*'Kalkylvärden 1'!$B$201)+('Gods UA2'!U27/100*'Kalkylvärden 1'!$B$202)+('Gods UA2'!V27/100*'Kalkylvärden 1'!$B$203)+('Gods UA2'!W27/100*'Kalkylvärden 1'!$B$204)+('Gods UA2'!X27/100*'Kalkylvärden 1'!$B$205)+('Gods UA2'!Y27/100*'Kalkylvärden 1'!$B$206))</f>
        <v>0</v>
      </c>
      <c r="AX27" s="275">
        <f>IF(AR27&lt;=0,AW27,(B27*(K27)/Projektspecifikt!$B$8)*((N27/100*'Kalkylvärden 1'!$B$195)+('Gods UA2'!O27/100*'Kalkylvärden 1'!$B$196)+('Gods UA2'!P27/100*'Kalkylvärden 1'!$B$197)+('Gods UA2'!Q27/100*'Kalkylvärden 1'!$B$198)+('Gods UA2'!R27/100*'Kalkylvärden 1'!$B$199)+('Gods UA2'!S27/100*'Kalkylvärden 1'!$B$200)+('Gods UA2'!T27/100*'Kalkylvärden 1'!$B$201)+('Gods UA2'!U27/100*'Kalkylvärden 1'!$B$202)+('Gods UA2'!V27/100*'Kalkylvärden 1'!$B$203)+('Gods UA2'!W27/100*'Kalkylvärden 1'!$B$204)+('Gods UA2'!X27/100*'Kalkylvärden 1'!$B$205)+('Gods UA2'!Y27/100*'Kalkylvärden 1'!$B$206)))</f>
        <v>0</v>
      </c>
      <c r="AY27"/>
      <c r="BB27" s="144"/>
      <c r="BC27" s="144"/>
      <c r="BD27" s="275"/>
      <c r="BE27" s="275"/>
      <c r="BF27" s="275"/>
      <c r="BG27" s="275"/>
      <c r="BH27" s="203"/>
      <c r="BI27" s="275"/>
      <c r="BJ27" s="275"/>
      <c r="BK27" s="275"/>
      <c r="BL27" s="275"/>
      <c r="BM27" s="275"/>
      <c r="BN27" s="1"/>
      <c r="BQ27"/>
      <c r="BR27" s="1"/>
      <c r="BS27"/>
      <c r="BT27" s="1"/>
      <c r="BU27"/>
      <c r="BW27" s="275"/>
      <c r="BY27" s="1"/>
    </row>
    <row r="28" spans="1:77" x14ac:dyDescent="0.25">
      <c r="A28" s="231" t="s">
        <v>329</v>
      </c>
      <c r="B28" s="262"/>
      <c r="C28" s="262"/>
      <c r="D28" s="239" t="e">
        <f t="shared" si="3"/>
        <v>#DIV/0!</v>
      </c>
      <c r="E28" s="307"/>
      <c r="F28" s="307"/>
      <c r="G28" s="262"/>
      <c r="H28" s="307"/>
      <c r="I28" s="262"/>
      <c r="J28" s="262"/>
      <c r="K28" s="338"/>
      <c r="L28" s="59">
        <f>K28/Projektspecifikt!$B$8</f>
        <v>0</v>
      </c>
      <c r="M28" s="339"/>
      <c r="N28" s="262"/>
      <c r="O28" s="262"/>
      <c r="P28" s="262"/>
      <c r="Q28" s="262"/>
      <c r="R28" s="262"/>
      <c r="S28" s="262"/>
      <c r="T28" s="262"/>
      <c r="U28" s="262"/>
      <c r="V28" s="262"/>
      <c r="W28" s="262"/>
      <c r="X28" s="262"/>
      <c r="Y28" s="262"/>
      <c r="Z28" s="233" t="str">
        <f t="shared" si="4"/>
        <v>FEL</v>
      </c>
      <c r="AA28" s="261">
        <f>'Gods UA1'!Y22</f>
        <v>20</v>
      </c>
      <c r="AB28" s="261">
        <f>'Gods UA1'!Z22</f>
        <v>10</v>
      </c>
      <c r="AC28" s="261">
        <f>'Gods UA1'!AA22</f>
        <v>50</v>
      </c>
      <c r="AD28" s="261">
        <v>0</v>
      </c>
      <c r="AE28" s="275" t="e">
        <f>IF(AD28=0,(('Kalkylvärden 1'!$D$97+AA28*('Kalkylvärden 1'!$D$98*(1-'Gods UA2'!AC28/100)+'Kalkylvärden 1'!$D$99*'Gods UA2'!AC28/100)+AB28*('Kalkylvärden 1'!$D$100*(1-'Gods UA2'!AC28/100)+'Kalkylvärden 1'!$D$101*'Gods UA2'!AC28/100))*E28/(E28+F28)+('Kalkylvärden 1'!$E$97+AA28*('Kalkylvärden 1'!$E$98*(1-'Gods UA2'!AC28/100)+'Kalkylvärden 1'!$E$99*'Gods UA2'!AC28/100)+AB28*('Kalkylvärden 1'!$E$100*(1-'Gods UA2'!AC28/100)+'Kalkylvärden 1'!$E$101*'Gods UA2'!AC28/100))*F28/(E28+F28)),((AA28+AB28)/('Kalkylvärden 1'!$H$98+'Kalkylvärden 1'!$H$99)*'Kalkylvärden 1'!$G$102))</f>
        <v>#DIV/0!</v>
      </c>
      <c r="AF28" s="361">
        <f>IF(AD28=0,('Kalkylvärden 1'!$D$103+AA28*'Kalkylvärden 1'!$D$104+'Gods UA2'!AB28*'Kalkylvärden 1'!$D$105),((AA28+AB28)/('Kalkylvärden 1'!$H$98+'Kalkylvärden 1'!$H$99)*'Kalkylvärden 1'!$G$105))</f>
        <v>54.767843200000002</v>
      </c>
      <c r="AG28" s="275" t="e">
        <f t="shared" si="0"/>
        <v>#DIV/0!</v>
      </c>
      <c r="AH28" s="275" t="e">
        <f>(AF28*(H28+J28)*60*2)+(AF28*G28*'Kalkylvärden 1'!$G$9*2)+(J28*'Kalkylvärden 1'!$G$10*'Kalkylvärden 1'!$M$100)+(M28*'Kalkylvärden 1'!$D$11*B28/C28)</f>
        <v>#DIV/0!</v>
      </c>
      <c r="AI28" s="275" t="e">
        <f t="shared" si="5"/>
        <v>#DIV/0!</v>
      </c>
      <c r="AJ28" s="275" t="e">
        <f t="shared" si="1"/>
        <v>#DIV/0!</v>
      </c>
      <c r="AK28" s="275">
        <f>(-B28*(E28+F28)*2*'Kalkylvärden 1'!$A$184)</f>
        <v>0</v>
      </c>
      <c r="AL28" s="275">
        <f>(-B28*(E28+F28)*2*'Kalkylvärden 1'!$A$186)</f>
        <v>0</v>
      </c>
      <c r="AM28" s="275">
        <f>(-B28*F28*2*'Kalkylvärden 1'!$A$188)</f>
        <v>0</v>
      </c>
      <c r="AN28" s="336">
        <f>IF(K28&lt;=0,0,((B28*K28*2)/Projektspecifikt!$B$7*'Kalkylvärden 1'!$A$180))</f>
        <v>0</v>
      </c>
      <c r="AO28" s="336">
        <f>IF(AS28&lt;=0,0,(B28*K28*2)/Projektspecifikt!$B$7*'Kalkylvärden 1'!$A$182)</f>
        <v>0</v>
      </c>
      <c r="AP28" s="336">
        <f t="shared" si="6"/>
        <v>0</v>
      </c>
      <c r="AQ28" s="275">
        <f t="shared" si="7"/>
        <v>0</v>
      </c>
      <c r="AR28" s="275">
        <f t="shared" si="8"/>
        <v>0</v>
      </c>
      <c r="AS28" s="332">
        <f>('Gods UA2'!K28/Projektspecifikt!$B$8)*B28:B57</f>
        <v>0</v>
      </c>
      <c r="AT28" s="275">
        <f>(H28+(G28*'Kalkylvärden 1'!$G$9/60)+J28)*B28:B57</f>
        <v>0</v>
      </c>
      <c r="AU28" s="275" t="e">
        <f t="shared" si="2"/>
        <v>#DIV/0!</v>
      </c>
      <c r="AV28" s="275" t="e">
        <f>IF(AR28&lt;=0,AU28,((AR28*'Kalkylvärden 1'!$A$112)+(AS28*'Kalkylvärden 1'!$A$114)))</f>
        <v>#DIV/0!</v>
      </c>
      <c r="AW28" s="275">
        <f>(B28*(H28+J28+(G28*'Kalkylvärden 1'!$G$9/60)))*((N28/100*'Kalkylvärden 1'!$B$195)+(O28/100*'Kalkylvärden 1'!$B$196)+(P28/100*'Kalkylvärden 1'!$B$197)+(Q28/100*'Kalkylvärden 1'!$B$198)+(R28/100*'Kalkylvärden 1'!$B$199)+(S28/100*'Kalkylvärden 1'!$B$200)+('Gods UA2'!T28/100*'Kalkylvärden 1'!$B$201)+('Gods UA2'!U28/100*'Kalkylvärden 1'!$B$202)+('Gods UA2'!V28/100*'Kalkylvärden 1'!$B$203)+('Gods UA2'!W28/100*'Kalkylvärden 1'!$B$204)+('Gods UA2'!X28/100*'Kalkylvärden 1'!$B$205)+('Gods UA2'!Y28/100*'Kalkylvärden 1'!$B$206))</f>
        <v>0</v>
      </c>
      <c r="AX28" s="275">
        <f>IF(AR28&lt;=0,AW28,(B28*(K28)/Projektspecifikt!$B$8)*((N28/100*'Kalkylvärden 1'!$B$195)+('Gods UA2'!O28/100*'Kalkylvärden 1'!$B$196)+('Gods UA2'!P28/100*'Kalkylvärden 1'!$B$197)+('Gods UA2'!Q28/100*'Kalkylvärden 1'!$B$198)+('Gods UA2'!R28/100*'Kalkylvärden 1'!$B$199)+('Gods UA2'!S28/100*'Kalkylvärden 1'!$B$200)+('Gods UA2'!T28/100*'Kalkylvärden 1'!$B$201)+('Gods UA2'!U28/100*'Kalkylvärden 1'!$B$202)+('Gods UA2'!V28/100*'Kalkylvärden 1'!$B$203)+('Gods UA2'!W28/100*'Kalkylvärden 1'!$B$204)+('Gods UA2'!X28/100*'Kalkylvärden 1'!$B$205)+('Gods UA2'!Y28/100*'Kalkylvärden 1'!$B$206)))</f>
        <v>0</v>
      </c>
      <c r="AY28"/>
      <c r="BB28" s="144"/>
      <c r="BC28" s="144"/>
      <c r="BD28" s="275"/>
      <c r="BE28" s="275"/>
      <c r="BF28" s="275"/>
      <c r="BG28" s="275"/>
      <c r="BH28" s="203"/>
      <c r="BI28" s="275"/>
      <c r="BJ28" s="275"/>
      <c r="BK28" s="275"/>
      <c r="BL28" s="275"/>
      <c r="BM28" s="275"/>
      <c r="BN28" s="1"/>
      <c r="BQ28"/>
      <c r="BR28" s="1"/>
      <c r="BS28"/>
      <c r="BT28" s="1"/>
      <c r="BU28"/>
      <c r="BW28" s="275"/>
      <c r="BY28" s="1"/>
    </row>
    <row r="29" spans="1:77" x14ac:dyDescent="0.25">
      <c r="A29" s="231" t="s">
        <v>329</v>
      </c>
      <c r="B29" s="262"/>
      <c r="C29" s="262"/>
      <c r="D29" s="239" t="e">
        <f t="shared" si="3"/>
        <v>#DIV/0!</v>
      </c>
      <c r="E29" s="307"/>
      <c r="F29" s="307"/>
      <c r="G29" s="262"/>
      <c r="H29" s="307"/>
      <c r="I29" s="262"/>
      <c r="J29" s="262"/>
      <c r="K29" s="338"/>
      <c r="L29" s="59">
        <f>K29/Projektspecifikt!$B$8</f>
        <v>0</v>
      </c>
      <c r="M29" s="339"/>
      <c r="N29" s="262"/>
      <c r="O29" s="262"/>
      <c r="P29" s="262"/>
      <c r="Q29" s="262"/>
      <c r="R29" s="262"/>
      <c r="S29" s="262"/>
      <c r="T29" s="262"/>
      <c r="U29" s="262"/>
      <c r="V29" s="262"/>
      <c r="W29" s="262"/>
      <c r="X29" s="262"/>
      <c r="Y29" s="262"/>
      <c r="Z29" s="233" t="str">
        <f t="shared" si="4"/>
        <v>FEL</v>
      </c>
      <c r="AA29" s="261">
        <f>'Gods UA1'!Y23</f>
        <v>20</v>
      </c>
      <c r="AB29" s="261">
        <f>'Gods UA1'!Z23</f>
        <v>10</v>
      </c>
      <c r="AC29" s="261">
        <f>'Gods UA1'!AA23</f>
        <v>50</v>
      </c>
      <c r="AD29" s="261">
        <v>0</v>
      </c>
      <c r="AE29" s="275" t="e">
        <f>IF(AD29=0,(('Kalkylvärden 1'!$D$97+AA29*('Kalkylvärden 1'!$D$98*(1-'Gods UA2'!AC29/100)+'Kalkylvärden 1'!$D$99*'Gods UA2'!AC29/100)+AB29*('Kalkylvärden 1'!$D$100*(1-'Gods UA2'!AC29/100)+'Kalkylvärden 1'!$D$101*'Gods UA2'!AC29/100))*E29/(E29+F29)+('Kalkylvärden 1'!$E$97+AA29*('Kalkylvärden 1'!$E$98*(1-'Gods UA2'!AC29/100)+'Kalkylvärden 1'!$E$99*'Gods UA2'!AC29/100)+AB29*('Kalkylvärden 1'!$E$100*(1-'Gods UA2'!AC29/100)+'Kalkylvärden 1'!$E$101*'Gods UA2'!AC29/100))*F29/(E29+F29)),((AA29+AB29)/('Kalkylvärden 1'!$H$98+'Kalkylvärden 1'!$H$99)*'Kalkylvärden 1'!$G$102))</f>
        <v>#DIV/0!</v>
      </c>
      <c r="AF29" s="361">
        <f>IF(AD29=0,('Kalkylvärden 1'!$D$103+AA29*'Kalkylvärden 1'!$D$104+'Gods UA2'!AB29*'Kalkylvärden 1'!$D$105),((AA29+AB29)/('Kalkylvärden 1'!$H$98+'Kalkylvärden 1'!$H$99)*'Kalkylvärden 1'!$G$105))</f>
        <v>54.767843200000002</v>
      </c>
      <c r="AG29" s="275" t="e">
        <f t="shared" si="0"/>
        <v>#DIV/0!</v>
      </c>
      <c r="AH29" s="275" t="e">
        <f>(AF29*(H29+J29)*60*2)+(AF29*G29*'Kalkylvärden 1'!$G$9*2)+(J29*'Kalkylvärden 1'!$G$10*'Kalkylvärden 1'!$M$100)+(M29*'Kalkylvärden 1'!$D$11*B29/C29)</f>
        <v>#DIV/0!</v>
      </c>
      <c r="AI29" s="275" t="e">
        <f t="shared" si="5"/>
        <v>#DIV/0!</v>
      </c>
      <c r="AJ29" s="275" t="e">
        <f t="shared" si="1"/>
        <v>#DIV/0!</v>
      </c>
      <c r="AK29" s="275">
        <f>(-B29*(E29+F29)*2*'Kalkylvärden 1'!$A$184)</f>
        <v>0</v>
      </c>
      <c r="AL29" s="275">
        <f>(-B29*(E29+F29)*2*'Kalkylvärden 1'!$A$186)</f>
        <v>0</v>
      </c>
      <c r="AM29" s="275">
        <f>(-B29*F29*2*'Kalkylvärden 1'!$A$188)</f>
        <v>0</v>
      </c>
      <c r="AN29" s="336">
        <f>IF(K29&lt;=0,0,((B29*K29*2)/Projektspecifikt!$B$7*'Kalkylvärden 1'!$A$180))</f>
        <v>0</v>
      </c>
      <c r="AO29" s="336">
        <f>IF(AS29&lt;=0,0,(B29*K29*2)/Projektspecifikt!$B$7*'Kalkylvärden 1'!$A$182)</f>
        <v>0</v>
      </c>
      <c r="AP29" s="336">
        <f t="shared" si="6"/>
        <v>0</v>
      </c>
      <c r="AQ29" s="275">
        <f t="shared" si="7"/>
        <v>0</v>
      </c>
      <c r="AR29" s="275">
        <f t="shared" si="8"/>
        <v>0</v>
      </c>
      <c r="AS29" s="332">
        <f>('Gods UA2'!K29/Projektspecifikt!$B$8)*B29:B58</f>
        <v>0</v>
      </c>
      <c r="AT29" s="275">
        <f>(H29+(G29*'Kalkylvärden 1'!$G$9/60)+J29)*B29:B58</f>
        <v>0</v>
      </c>
      <c r="AU29" s="275" t="e">
        <f t="shared" si="2"/>
        <v>#DIV/0!</v>
      </c>
      <c r="AV29" s="275" t="e">
        <f>IF(AR29&lt;=0,AU29,((AR29*'Kalkylvärden 1'!$A$112)+(AS29*'Kalkylvärden 1'!$A$114)))</f>
        <v>#DIV/0!</v>
      </c>
      <c r="AW29" s="275">
        <f>(B29*(H29+J29+(G29*'Kalkylvärden 1'!$G$9/60)))*((N29/100*'Kalkylvärden 1'!$B$195)+(O29/100*'Kalkylvärden 1'!$B$196)+(P29/100*'Kalkylvärden 1'!$B$197)+(Q29/100*'Kalkylvärden 1'!$B$198)+(R29/100*'Kalkylvärden 1'!$B$199)+(S29/100*'Kalkylvärden 1'!$B$200)+('Gods UA2'!T29/100*'Kalkylvärden 1'!$B$201)+('Gods UA2'!U29/100*'Kalkylvärden 1'!$B$202)+('Gods UA2'!V29/100*'Kalkylvärden 1'!$B$203)+('Gods UA2'!W29/100*'Kalkylvärden 1'!$B$204)+('Gods UA2'!X29/100*'Kalkylvärden 1'!$B$205)+('Gods UA2'!Y29/100*'Kalkylvärden 1'!$B$206))</f>
        <v>0</v>
      </c>
      <c r="AX29" s="275">
        <f>IF(AR29&lt;=0,AW29,(B29*(K29)/Projektspecifikt!$B$8)*((N29/100*'Kalkylvärden 1'!$B$195)+('Gods UA2'!O29/100*'Kalkylvärden 1'!$B$196)+('Gods UA2'!P29/100*'Kalkylvärden 1'!$B$197)+('Gods UA2'!Q29/100*'Kalkylvärden 1'!$B$198)+('Gods UA2'!R29/100*'Kalkylvärden 1'!$B$199)+('Gods UA2'!S29/100*'Kalkylvärden 1'!$B$200)+('Gods UA2'!T29/100*'Kalkylvärden 1'!$B$201)+('Gods UA2'!U29/100*'Kalkylvärden 1'!$B$202)+('Gods UA2'!V29/100*'Kalkylvärden 1'!$B$203)+('Gods UA2'!W29/100*'Kalkylvärden 1'!$B$204)+('Gods UA2'!X29/100*'Kalkylvärden 1'!$B$205)+('Gods UA2'!Y29/100*'Kalkylvärden 1'!$B$206)))</f>
        <v>0</v>
      </c>
      <c r="AY29"/>
      <c r="BB29" s="144"/>
      <c r="BC29" s="144"/>
      <c r="BD29" s="275"/>
      <c r="BE29" s="275"/>
      <c r="BF29" s="275"/>
      <c r="BG29" s="275"/>
      <c r="BH29" s="203"/>
      <c r="BI29" s="275"/>
      <c r="BJ29" s="275"/>
      <c r="BK29" s="275"/>
      <c r="BL29" s="275"/>
      <c r="BM29" s="275"/>
      <c r="BN29" s="1"/>
      <c r="BQ29"/>
      <c r="BR29" s="1"/>
      <c r="BS29"/>
      <c r="BT29" s="1"/>
      <c r="BU29"/>
      <c r="BW29" s="275"/>
      <c r="BY29" s="1"/>
    </row>
    <row r="30" spans="1:77" x14ac:dyDescent="0.25">
      <c r="A30" s="231" t="s">
        <v>329</v>
      </c>
      <c r="B30" s="262"/>
      <c r="C30" s="262"/>
      <c r="D30" s="239" t="e">
        <f t="shared" si="3"/>
        <v>#DIV/0!</v>
      </c>
      <c r="E30" s="307"/>
      <c r="F30" s="307"/>
      <c r="G30" s="262"/>
      <c r="H30" s="307"/>
      <c r="I30" s="262"/>
      <c r="J30" s="262"/>
      <c r="K30" s="338"/>
      <c r="L30" s="59">
        <f>K30/Projektspecifikt!$B$8</f>
        <v>0</v>
      </c>
      <c r="M30" s="339"/>
      <c r="N30" s="262"/>
      <c r="O30" s="262"/>
      <c r="P30" s="262"/>
      <c r="Q30" s="262"/>
      <c r="R30" s="262"/>
      <c r="S30" s="262"/>
      <c r="T30" s="262"/>
      <c r="U30" s="262"/>
      <c r="V30" s="262"/>
      <c r="W30" s="262"/>
      <c r="X30" s="262"/>
      <c r="Y30" s="262"/>
      <c r="Z30" s="233" t="str">
        <f t="shared" si="4"/>
        <v>FEL</v>
      </c>
      <c r="AA30" s="261">
        <f>'Gods UA1'!Y24</f>
        <v>20</v>
      </c>
      <c r="AB30" s="261">
        <f>'Gods UA1'!Z24</f>
        <v>10</v>
      </c>
      <c r="AC30" s="261">
        <f>'Gods UA1'!AA24</f>
        <v>50</v>
      </c>
      <c r="AD30" s="261">
        <v>0</v>
      </c>
      <c r="AE30" s="275" t="e">
        <f>IF(AD30=0,(('Kalkylvärden 1'!$D$97+AA30*('Kalkylvärden 1'!$D$98*(1-'Gods UA2'!AC30/100)+'Kalkylvärden 1'!$D$99*'Gods UA2'!AC30/100)+AB30*('Kalkylvärden 1'!$D$100*(1-'Gods UA2'!AC30/100)+'Kalkylvärden 1'!$D$101*'Gods UA2'!AC30/100))*E30/(E30+F30)+('Kalkylvärden 1'!$E$97+AA30*('Kalkylvärden 1'!$E$98*(1-'Gods UA2'!AC30/100)+'Kalkylvärden 1'!$E$99*'Gods UA2'!AC30/100)+AB30*('Kalkylvärden 1'!$E$100*(1-'Gods UA2'!AC30/100)+'Kalkylvärden 1'!$E$101*'Gods UA2'!AC30/100))*F30/(E30+F30)),((AA30+AB30)/('Kalkylvärden 1'!$H$98+'Kalkylvärden 1'!$H$99)*'Kalkylvärden 1'!$G$102))</f>
        <v>#DIV/0!</v>
      </c>
      <c r="AF30" s="361">
        <f>IF(AD30=0,('Kalkylvärden 1'!$D$103+AA30*'Kalkylvärden 1'!$D$104+'Gods UA2'!AB30*'Kalkylvärden 1'!$D$105),((AA30+AB30)/('Kalkylvärden 1'!$H$98+'Kalkylvärden 1'!$H$99)*'Kalkylvärden 1'!$G$105))</f>
        <v>54.767843200000002</v>
      </c>
      <c r="AG30" s="275" t="e">
        <f t="shared" si="0"/>
        <v>#DIV/0!</v>
      </c>
      <c r="AH30" s="275" t="e">
        <f>(AF30*(H30+J30)*60*2)+(AF30*G30*'Kalkylvärden 1'!$G$9*2)+(J30*'Kalkylvärden 1'!$G$10*'Kalkylvärden 1'!$M$100)+(M30*'Kalkylvärden 1'!$D$11*B30/C30)</f>
        <v>#DIV/0!</v>
      </c>
      <c r="AI30" s="275" t="e">
        <f t="shared" si="5"/>
        <v>#DIV/0!</v>
      </c>
      <c r="AJ30" s="275" t="e">
        <f t="shared" si="1"/>
        <v>#DIV/0!</v>
      </c>
      <c r="AK30" s="275">
        <f>(-B30*(E30+F30)*2*'Kalkylvärden 1'!$A$184)</f>
        <v>0</v>
      </c>
      <c r="AL30" s="275">
        <f>(-B30*(E30+F30)*2*'Kalkylvärden 1'!$A$186)</f>
        <v>0</v>
      </c>
      <c r="AM30" s="275">
        <f>(-B30*F30*2*'Kalkylvärden 1'!$A$188)</f>
        <v>0</v>
      </c>
      <c r="AN30" s="336">
        <f>IF(K30&lt;=0,0,((B30*K30*2)/Projektspecifikt!$B$7*'Kalkylvärden 1'!$A$180))</f>
        <v>0</v>
      </c>
      <c r="AO30" s="336">
        <f>IF(AS30&lt;=0,0,(B30*K30*2)/Projektspecifikt!$B$7*'Kalkylvärden 1'!$A$182)</f>
        <v>0</v>
      </c>
      <c r="AP30" s="336">
        <f t="shared" si="6"/>
        <v>0</v>
      </c>
      <c r="AQ30" s="275">
        <f t="shared" si="7"/>
        <v>0</v>
      </c>
      <c r="AR30" s="275">
        <f t="shared" si="8"/>
        <v>0</v>
      </c>
      <c r="AS30" s="332">
        <f>('Gods UA2'!K30/Projektspecifikt!$B$8)*B30:B59</f>
        <v>0</v>
      </c>
      <c r="AT30" s="275">
        <f>(H30+(G30*'Kalkylvärden 1'!$G$9/60)+J30)*B30:B59</f>
        <v>0</v>
      </c>
      <c r="AU30" s="275" t="e">
        <f t="shared" si="2"/>
        <v>#DIV/0!</v>
      </c>
      <c r="AV30" s="275" t="e">
        <f>IF(AR30&lt;=0,AU30,((AR30*'Kalkylvärden 1'!$A$112)+(AS30*'Kalkylvärden 1'!$A$114)))</f>
        <v>#DIV/0!</v>
      </c>
      <c r="AW30" s="275">
        <f>(B30*(H30+J30+(G30*'Kalkylvärden 1'!$G$9/60)))*((N30/100*'Kalkylvärden 1'!$B$195)+(O30/100*'Kalkylvärden 1'!$B$196)+(P30/100*'Kalkylvärden 1'!$B$197)+(Q30/100*'Kalkylvärden 1'!$B$198)+(R30/100*'Kalkylvärden 1'!$B$199)+(S30/100*'Kalkylvärden 1'!$B$200)+('Gods UA2'!T30/100*'Kalkylvärden 1'!$B$201)+('Gods UA2'!U30/100*'Kalkylvärden 1'!$B$202)+('Gods UA2'!V30/100*'Kalkylvärden 1'!$B$203)+('Gods UA2'!W30/100*'Kalkylvärden 1'!$B$204)+('Gods UA2'!X30/100*'Kalkylvärden 1'!$B$205)+('Gods UA2'!Y30/100*'Kalkylvärden 1'!$B$206))</f>
        <v>0</v>
      </c>
      <c r="AX30" s="275">
        <f>IF(AR30&lt;=0,AW30,(B30*(K30)/Projektspecifikt!$B$8)*((N30/100*'Kalkylvärden 1'!$B$195)+('Gods UA2'!O30/100*'Kalkylvärden 1'!$B$196)+('Gods UA2'!P30/100*'Kalkylvärden 1'!$B$197)+('Gods UA2'!Q30/100*'Kalkylvärden 1'!$B$198)+('Gods UA2'!R30/100*'Kalkylvärden 1'!$B$199)+('Gods UA2'!S30/100*'Kalkylvärden 1'!$B$200)+('Gods UA2'!T30/100*'Kalkylvärden 1'!$B$201)+('Gods UA2'!U30/100*'Kalkylvärden 1'!$B$202)+('Gods UA2'!V30/100*'Kalkylvärden 1'!$B$203)+('Gods UA2'!W30/100*'Kalkylvärden 1'!$B$204)+('Gods UA2'!X30/100*'Kalkylvärden 1'!$B$205)+('Gods UA2'!Y30/100*'Kalkylvärden 1'!$B$206)))</f>
        <v>0</v>
      </c>
      <c r="AY30"/>
      <c r="BB30" s="144"/>
      <c r="BC30" s="144"/>
      <c r="BD30" s="275"/>
      <c r="BE30" s="275"/>
      <c r="BF30" s="275"/>
      <c r="BG30" s="275"/>
      <c r="BH30" s="203"/>
      <c r="BI30" s="275"/>
      <c r="BJ30" s="275"/>
      <c r="BK30" s="275"/>
      <c r="BL30" s="275"/>
      <c r="BM30" s="275"/>
      <c r="BN30" s="1"/>
      <c r="BQ30"/>
      <c r="BR30" s="1"/>
      <c r="BS30"/>
      <c r="BT30" s="1"/>
      <c r="BU30"/>
      <c r="BW30" s="275"/>
      <c r="BY30" s="1"/>
    </row>
    <row r="31" spans="1:77" x14ac:dyDescent="0.25">
      <c r="A31" s="231" t="s">
        <v>329</v>
      </c>
      <c r="B31" s="262"/>
      <c r="C31" s="262"/>
      <c r="D31" s="239" t="e">
        <f t="shared" si="3"/>
        <v>#DIV/0!</v>
      </c>
      <c r="E31" s="307"/>
      <c r="F31" s="307"/>
      <c r="G31" s="262"/>
      <c r="H31" s="307"/>
      <c r="I31" s="262"/>
      <c r="J31" s="262"/>
      <c r="K31" s="338"/>
      <c r="L31" s="59">
        <f>K31/Projektspecifikt!$B$8</f>
        <v>0</v>
      </c>
      <c r="M31" s="339"/>
      <c r="N31" s="262"/>
      <c r="O31" s="262"/>
      <c r="P31" s="262"/>
      <c r="Q31" s="262"/>
      <c r="R31" s="262"/>
      <c r="S31" s="262"/>
      <c r="T31" s="262"/>
      <c r="U31" s="262"/>
      <c r="V31" s="262"/>
      <c r="W31" s="262"/>
      <c r="X31" s="262"/>
      <c r="Y31" s="262"/>
      <c r="Z31" s="233" t="str">
        <f t="shared" si="4"/>
        <v>FEL</v>
      </c>
      <c r="AA31" s="261">
        <f>'Gods UA1'!Y25</f>
        <v>20</v>
      </c>
      <c r="AB31" s="261">
        <f>'Gods UA1'!Z25</f>
        <v>10</v>
      </c>
      <c r="AC31" s="261">
        <f>'Gods UA1'!AA25</f>
        <v>50</v>
      </c>
      <c r="AD31" s="261">
        <v>0</v>
      </c>
      <c r="AE31" s="275" t="e">
        <f>IF(AD31=0,(('Kalkylvärden 1'!$D$97+AA31*('Kalkylvärden 1'!$D$98*(1-'Gods UA2'!AC31/100)+'Kalkylvärden 1'!$D$99*'Gods UA2'!AC31/100)+AB31*('Kalkylvärden 1'!$D$100*(1-'Gods UA2'!AC31/100)+'Kalkylvärden 1'!$D$101*'Gods UA2'!AC31/100))*E31/(E31+F31)+('Kalkylvärden 1'!$E$97+AA31*('Kalkylvärden 1'!$E$98*(1-'Gods UA2'!AC31/100)+'Kalkylvärden 1'!$E$99*'Gods UA2'!AC31/100)+AB31*('Kalkylvärden 1'!$E$100*(1-'Gods UA2'!AC31/100)+'Kalkylvärden 1'!$E$101*'Gods UA2'!AC31/100))*F31/(E31+F31)),((AA31+AB31)/('Kalkylvärden 1'!$H$98+'Kalkylvärden 1'!$H$99)*'Kalkylvärden 1'!$G$102))</f>
        <v>#DIV/0!</v>
      </c>
      <c r="AF31" s="361">
        <f>IF(AD31=0,('Kalkylvärden 1'!$D$103+AA31*'Kalkylvärden 1'!$D$104+'Gods UA2'!AB31*'Kalkylvärden 1'!$D$105),((AA31+AB31)/('Kalkylvärden 1'!$H$98+'Kalkylvärden 1'!$H$99)*'Kalkylvärden 1'!$G$105))</f>
        <v>54.767843200000002</v>
      </c>
      <c r="AG31" s="275" t="e">
        <f t="shared" si="0"/>
        <v>#DIV/0!</v>
      </c>
      <c r="AH31" s="275" t="e">
        <f>(AF31*(H31+J31)*60*2)+(AF31*G31*'Kalkylvärden 1'!$G$9*2)+(J31*'Kalkylvärden 1'!$G$10*'Kalkylvärden 1'!$M$100)+(M31*'Kalkylvärden 1'!$D$11*B31/C31)</f>
        <v>#DIV/0!</v>
      </c>
      <c r="AI31" s="275" t="e">
        <f t="shared" si="5"/>
        <v>#DIV/0!</v>
      </c>
      <c r="AJ31" s="275" t="e">
        <f t="shared" si="1"/>
        <v>#DIV/0!</v>
      </c>
      <c r="AK31" s="275">
        <f>(-B31*(E31+F31)*2*'Kalkylvärden 1'!$A$184)</f>
        <v>0</v>
      </c>
      <c r="AL31" s="275">
        <f>(-B31*(E31+F31)*2*'Kalkylvärden 1'!$A$186)</f>
        <v>0</v>
      </c>
      <c r="AM31" s="275">
        <f>(-B31*F31*2*'Kalkylvärden 1'!$A$188)</f>
        <v>0</v>
      </c>
      <c r="AN31" s="336">
        <f>IF(K31&lt;=0,0,((B31*K31*2)/Projektspecifikt!$B$7*'Kalkylvärden 1'!$A$180))</f>
        <v>0</v>
      </c>
      <c r="AO31" s="336">
        <f>IF(AS31&lt;=0,0,(B31*K31*2)/Projektspecifikt!$B$7*'Kalkylvärden 1'!$A$182)</f>
        <v>0</v>
      </c>
      <c r="AP31" s="336">
        <f t="shared" si="6"/>
        <v>0</v>
      </c>
      <c r="AQ31" s="275">
        <f t="shared" si="7"/>
        <v>0</v>
      </c>
      <c r="AR31" s="275">
        <f t="shared" si="8"/>
        <v>0</v>
      </c>
      <c r="AS31" s="332">
        <f>('Gods UA2'!K31/Projektspecifikt!$B$8)*B31:B60</f>
        <v>0</v>
      </c>
      <c r="AT31" s="275">
        <f>(H31+(G31*'Kalkylvärden 1'!$G$9/60)+J31)*B31:B60</f>
        <v>0</v>
      </c>
      <c r="AU31" s="275" t="e">
        <f t="shared" si="2"/>
        <v>#DIV/0!</v>
      </c>
      <c r="AV31" s="275" t="e">
        <f>IF(AR31&lt;=0,AU31,((AR31*'Kalkylvärden 1'!$A$112)+(AS31*'Kalkylvärden 1'!$A$114)))</f>
        <v>#DIV/0!</v>
      </c>
      <c r="AW31" s="275">
        <f>(B31*(H31+J31+(G31*'Kalkylvärden 1'!$G$9/60)))*((N31/100*'Kalkylvärden 1'!$B$195)+(O31/100*'Kalkylvärden 1'!$B$196)+(P31/100*'Kalkylvärden 1'!$B$197)+(Q31/100*'Kalkylvärden 1'!$B$198)+(R31/100*'Kalkylvärden 1'!$B$199)+(S31/100*'Kalkylvärden 1'!$B$200)+('Gods UA2'!T31/100*'Kalkylvärden 1'!$B$201)+('Gods UA2'!U31/100*'Kalkylvärden 1'!$B$202)+('Gods UA2'!V31/100*'Kalkylvärden 1'!$B$203)+('Gods UA2'!W31/100*'Kalkylvärden 1'!$B$204)+('Gods UA2'!X31/100*'Kalkylvärden 1'!$B$205)+('Gods UA2'!Y31/100*'Kalkylvärden 1'!$B$206))</f>
        <v>0</v>
      </c>
      <c r="AX31" s="275">
        <f>IF(AR31&lt;=0,AW31,(B31*(K31)/Projektspecifikt!$B$8)*((N31/100*'Kalkylvärden 1'!$B$195)+('Gods UA2'!O31/100*'Kalkylvärden 1'!$B$196)+('Gods UA2'!P31/100*'Kalkylvärden 1'!$B$197)+('Gods UA2'!Q31/100*'Kalkylvärden 1'!$B$198)+('Gods UA2'!R31/100*'Kalkylvärden 1'!$B$199)+('Gods UA2'!S31/100*'Kalkylvärden 1'!$B$200)+('Gods UA2'!T31/100*'Kalkylvärden 1'!$B$201)+('Gods UA2'!U31/100*'Kalkylvärden 1'!$B$202)+('Gods UA2'!V31/100*'Kalkylvärden 1'!$B$203)+('Gods UA2'!W31/100*'Kalkylvärden 1'!$B$204)+('Gods UA2'!X31/100*'Kalkylvärden 1'!$B$205)+('Gods UA2'!Y31/100*'Kalkylvärden 1'!$B$206)))</f>
        <v>0</v>
      </c>
      <c r="AY31"/>
      <c r="BB31" s="144"/>
      <c r="BC31" s="144"/>
      <c r="BD31" s="275"/>
      <c r="BE31" s="275"/>
      <c r="BF31" s="275"/>
      <c r="BG31" s="275"/>
      <c r="BH31" s="203"/>
      <c r="BI31" s="275"/>
      <c r="BJ31" s="275"/>
      <c r="BK31" s="275"/>
      <c r="BL31" s="275"/>
      <c r="BM31" s="275"/>
      <c r="BN31" s="1"/>
      <c r="BQ31"/>
      <c r="BR31" s="1"/>
      <c r="BS31"/>
      <c r="BT31" s="1"/>
      <c r="BU31"/>
      <c r="BW31" s="275"/>
      <c r="BY31" s="1"/>
    </row>
    <row r="32" spans="1:77" x14ac:dyDescent="0.25">
      <c r="A32" s="231" t="s">
        <v>329</v>
      </c>
      <c r="B32" s="262"/>
      <c r="C32" s="262"/>
      <c r="D32" s="239" t="e">
        <f t="shared" si="3"/>
        <v>#DIV/0!</v>
      </c>
      <c r="E32" s="307"/>
      <c r="F32" s="307"/>
      <c r="G32" s="262"/>
      <c r="H32" s="307"/>
      <c r="I32" s="262"/>
      <c r="J32" s="262"/>
      <c r="K32" s="338"/>
      <c r="L32" s="59">
        <f>K32/Projektspecifikt!$B$8</f>
        <v>0</v>
      </c>
      <c r="M32" s="339"/>
      <c r="N32" s="262"/>
      <c r="O32" s="262"/>
      <c r="P32" s="262"/>
      <c r="Q32" s="262"/>
      <c r="R32" s="262"/>
      <c r="S32" s="262"/>
      <c r="T32" s="262"/>
      <c r="U32" s="262"/>
      <c r="V32" s="262"/>
      <c r="W32" s="262"/>
      <c r="X32" s="262"/>
      <c r="Y32" s="262"/>
      <c r="Z32" s="233" t="str">
        <f t="shared" si="4"/>
        <v>FEL</v>
      </c>
      <c r="AA32" s="261">
        <f>'Gods UA1'!Y26</f>
        <v>20</v>
      </c>
      <c r="AB32" s="261">
        <f>'Gods UA1'!Z26</f>
        <v>10</v>
      </c>
      <c r="AC32" s="261">
        <f>'Gods UA1'!AA26</f>
        <v>50</v>
      </c>
      <c r="AD32" s="261">
        <v>0</v>
      </c>
      <c r="AE32" s="275" t="e">
        <f>IF(AD32=0,(('Kalkylvärden 1'!$D$97+AA32*('Kalkylvärden 1'!$D$98*(1-'Gods UA2'!AC32/100)+'Kalkylvärden 1'!$D$99*'Gods UA2'!AC32/100)+AB32*('Kalkylvärden 1'!$D$100*(1-'Gods UA2'!AC32/100)+'Kalkylvärden 1'!$D$101*'Gods UA2'!AC32/100))*E32/(E32+F32)+('Kalkylvärden 1'!$E$97+AA32*('Kalkylvärden 1'!$E$98*(1-'Gods UA2'!AC32/100)+'Kalkylvärden 1'!$E$99*'Gods UA2'!AC32/100)+AB32*('Kalkylvärden 1'!$E$100*(1-'Gods UA2'!AC32/100)+'Kalkylvärden 1'!$E$101*'Gods UA2'!AC32/100))*F32/(E32+F32)),((AA32+AB32)/('Kalkylvärden 1'!$H$98+'Kalkylvärden 1'!$H$99)*'Kalkylvärden 1'!$G$102))</f>
        <v>#DIV/0!</v>
      </c>
      <c r="AF32" s="361">
        <f>IF(AD32=0,('Kalkylvärden 1'!$D$103+AA32*'Kalkylvärden 1'!$D$104+'Gods UA2'!AB32*'Kalkylvärden 1'!$D$105),((AA32+AB32)/('Kalkylvärden 1'!$H$98+'Kalkylvärden 1'!$H$99)*'Kalkylvärden 1'!$G$105))</f>
        <v>54.767843200000002</v>
      </c>
      <c r="AG32" s="275" t="e">
        <f t="shared" si="0"/>
        <v>#DIV/0!</v>
      </c>
      <c r="AH32" s="275" t="e">
        <f>(AF32*(H32+J32)*60*2)+(AF32*G32*'Kalkylvärden 1'!$G$9*2)+(J32*'Kalkylvärden 1'!$G$10*'Kalkylvärden 1'!$M$100)+(M32*'Kalkylvärden 1'!$D$11*B32/C32)</f>
        <v>#DIV/0!</v>
      </c>
      <c r="AI32" s="275" t="e">
        <f t="shared" si="5"/>
        <v>#DIV/0!</v>
      </c>
      <c r="AJ32" s="275" t="e">
        <f t="shared" si="1"/>
        <v>#DIV/0!</v>
      </c>
      <c r="AK32" s="275">
        <f>(-B32*(E32+F32)*2*'Kalkylvärden 1'!$A$184)</f>
        <v>0</v>
      </c>
      <c r="AL32" s="275">
        <f>(-B32*(E32+F32)*2*'Kalkylvärden 1'!$A$186)</f>
        <v>0</v>
      </c>
      <c r="AM32" s="275">
        <f>(-B32*F32*2*'Kalkylvärden 1'!$A$188)</f>
        <v>0</v>
      </c>
      <c r="AN32" s="336">
        <f>IF(K32&lt;=0,0,((B32*K32*2)/Projektspecifikt!$B$7*'Kalkylvärden 1'!$A$180))</f>
        <v>0</v>
      </c>
      <c r="AO32" s="336">
        <f>IF(AS32&lt;=0,0,(B32*K32*2)/Projektspecifikt!$B$7*'Kalkylvärden 1'!$A$182)</f>
        <v>0</v>
      </c>
      <c r="AP32" s="336">
        <f t="shared" si="6"/>
        <v>0</v>
      </c>
      <c r="AQ32" s="275">
        <f t="shared" si="7"/>
        <v>0</v>
      </c>
      <c r="AR32" s="275">
        <f t="shared" si="8"/>
        <v>0</v>
      </c>
      <c r="AS32" s="332">
        <f>('Gods UA2'!K32/Projektspecifikt!$B$8)*B32:B61</f>
        <v>0</v>
      </c>
      <c r="AT32" s="275">
        <f>(H32+(G32*'Kalkylvärden 1'!$G$9/60)+J32)*B32:B61</f>
        <v>0</v>
      </c>
      <c r="AU32" s="275" t="e">
        <f t="shared" si="2"/>
        <v>#DIV/0!</v>
      </c>
      <c r="AV32" s="275" t="e">
        <f>IF(AR32&lt;=0,AU32,((AR32*'Kalkylvärden 1'!$A$112)+(AS32*'Kalkylvärden 1'!$A$114)))</f>
        <v>#DIV/0!</v>
      </c>
      <c r="AW32" s="275">
        <f>(B32*(H32+J32+(G32*'Kalkylvärden 1'!$G$9/60)))*((N32/100*'Kalkylvärden 1'!$B$195)+(O32/100*'Kalkylvärden 1'!$B$196)+(P32/100*'Kalkylvärden 1'!$B$197)+(Q32/100*'Kalkylvärden 1'!$B$198)+(R32/100*'Kalkylvärden 1'!$B$199)+(S32/100*'Kalkylvärden 1'!$B$200)+('Gods UA2'!T32/100*'Kalkylvärden 1'!$B$201)+('Gods UA2'!U32/100*'Kalkylvärden 1'!$B$202)+('Gods UA2'!V32/100*'Kalkylvärden 1'!$B$203)+('Gods UA2'!W32/100*'Kalkylvärden 1'!$B$204)+('Gods UA2'!X32/100*'Kalkylvärden 1'!$B$205)+('Gods UA2'!Y32/100*'Kalkylvärden 1'!$B$206))</f>
        <v>0</v>
      </c>
      <c r="AX32" s="275">
        <f>IF(AR32&lt;=0,AW32,(B32*(K32)/Projektspecifikt!$B$8)*((N32/100*'Kalkylvärden 1'!$B$195)+('Gods UA2'!O32/100*'Kalkylvärden 1'!$B$196)+('Gods UA2'!P32/100*'Kalkylvärden 1'!$B$197)+('Gods UA2'!Q32/100*'Kalkylvärden 1'!$B$198)+('Gods UA2'!R32/100*'Kalkylvärden 1'!$B$199)+('Gods UA2'!S32/100*'Kalkylvärden 1'!$B$200)+('Gods UA2'!T32/100*'Kalkylvärden 1'!$B$201)+('Gods UA2'!U32/100*'Kalkylvärden 1'!$B$202)+('Gods UA2'!V32/100*'Kalkylvärden 1'!$B$203)+('Gods UA2'!W32/100*'Kalkylvärden 1'!$B$204)+('Gods UA2'!X32/100*'Kalkylvärden 1'!$B$205)+('Gods UA2'!Y32/100*'Kalkylvärden 1'!$B$206)))</f>
        <v>0</v>
      </c>
      <c r="AY32"/>
      <c r="BB32" s="144"/>
      <c r="BC32" s="144"/>
      <c r="BD32" s="275"/>
      <c r="BE32" s="275"/>
      <c r="BF32" s="275"/>
      <c r="BG32" s="275"/>
      <c r="BH32" s="203"/>
      <c r="BI32" s="275"/>
      <c r="BJ32" s="275"/>
      <c r="BK32" s="275"/>
      <c r="BL32" s="275"/>
      <c r="BM32" s="275"/>
      <c r="BN32" s="1"/>
      <c r="BQ32"/>
      <c r="BR32" s="1"/>
      <c r="BS32"/>
      <c r="BT32" s="1"/>
      <c r="BU32"/>
      <c r="BW32" s="275"/>
      <c r="BY32" s="1"/>
    </row>
    <row r="33" spans="1:77" x14ac:dyDescent="0.25">
      <c r="A33" s="231" t="s">
        <v>329</v>
      </c>
      <c r="B33" s="262"/>
      <c r="C33" s="262"/>
      <c r="D33" s="239" t="e">
        <f t="shared" si="3"/>
        <v>#DIV/0!</v>
      </c>
      <c r="E33" s="307"/>
      <c r="F33" s="307"/>
      <c r="G33" s="262"/>
      <c r="H33" s="307"/>
      <c r="I33" s="262"/>
      <c r="J33" s="262"/>
      <c r="K33" s="338"/>
      <c r="L33" s="59">
        <f>K33/Projektspecifikt!$B$8</f>
        <v>0</v>
      </c>
      <c r="M33" s="339"/>
      <c r="N33" s="262"/>
      <c r="O33" s="262"/>
      <c r="P33" s="262"/>
      <c r="Q33" s="262"/>
      <c r="R33" s="262"/>
      <c r="S33" s="262"/>
      <c r="T33" s="262"/>
      <c r="U33" s="262"/>
      <c r="V33" s="262"/>
      <c r="W33" s="262"/>
      <c r="X33" s="262"/>
      <c r="Y33" s="262"/>
      <c r="Z33" s="233" t="str">
        <f t="shared" si="4"/>
        <v>FEL</v>
      </c>
      <c r="AA33" s="261">
        <f>'Gods UA1'!Y27</f>
        <v>20</v>
      </c>
      <c r="AB33" s="261">
        <f>'Gods UA1'!Z27</f>
        <v>10</v>
      </c>
      <c r="AC33" s="261">
        <f>'Gods UA1'!AA27</f>
        <v>50</v>
      </c>
      <c r="AD33" s="261">
        <v>0</v>
      </c>
      <c r="AE33" s="275" t="e">
        <f>IF(AD33=0,(('Kalkylvärden 1'!$D$97+AA33*('Kalkylvärden 1'!$D$98*(1-'Gods UA2'!AC33/100)+'Kalkylvärden 1'!$D$99*'Gods UA2'!AC33/100)+AB33*('Kalkylvärden 1'!$D$100*(1-'Gods UA2'!AC33/100)+'Kalkylvärden 1'!$D$101*'Gods UA2'!AC33/100))*E33/(E33+F33)+('Kalkylvärden 1'!$E$97+AA33*('Kalkylvärden 1'!$E$98*(1-'Gods UA2'!AC33/100)+'Kalkylvärden 1'!$E$99*'Gods UA2'!AC33/100)+AB33*('Kalkylvärden 1'!$E$100*(1-'Gods UA2'!AC33/100)+'Kalkylvärden 1'!$E$101*'Gods UA2'!AC33/100))*F33/(E33+F33)),((AA33+AB33)/('Kalkylvärden 1'!$H$98+'Kalkylvärden 1'!$H$99)*'Kalkylvärden 1'!$G$102))</f>
        <v>#DIV/0!</v>
      </c>
      <c r="AF33" s="361">
        <f>IF(AD33=0,('Kalkylvärden 1'!$D$103+AA33*'Kalkylvärden 1'!$D$104+'Gods UA2'!AB33*'Kalkylvärden 1'!$D$105),((AA33+AB33)/('Kalkylvärden 1'!$H$98+'Kalkylvärden 1'!$H$99)*'Kalkylvärden 1'!$G$105))</f>
        <v>54.767843200000002</v>
      </c>
      <c r="AG33" s="275" t="e">
        <f t="shared" si="0"/>
        <v>#DIV/0!</v>
      </c>
      <c r="AH33" s="275" t="e">
        <f>(AF33*(H33+J33)*60*2)+(AF33*G33*'Kalkylvärden 1'!$G$9*2)+(J33*'Kalkylvärden 1'!$G$10*'Kalkylvärden 1'!$M$100)+(M33*'Kalkylvärden 1'!$D$11*B33/C33)</f>
        <v>#DIV/0!</v>
      </c>
      <c r="AI33" s="275" t="e">
        <f t="shared" si="5"/>
        <v>#DIV/0!</v>
      </c>
      <c r="AJ33" s="275" t="e">
        <f t="shared" si="1"/>
        <v>#DIV/0!</v>
      </c>
      <c r="AK33" s="275">
        <f>(-B33*(E33+F33)*2*'Kalkylvärden 1'!$A$184)</f>
        <v>0</v>
      </c>
      <c r="AL33" s="275">
        <f>(-B33*(E33+F33)*2*'Kalkylvärden 1'!$A$186)</f>
        <v>0</v>
      </c>
      <c r="AM33" s="275">
        <f>(-B33*F33*2*'Kalkylvärden 1'!$A$188)</f>
        <v>0</v>
      </c>
      <c r="AN33" s="336">
        <f>IF(K33&lt;=0,0,((B33*K33*2)/Projektspecifikt!$B$7*'Kalkylvärden 1'!$A$180))</f>
        <v>0</v>
      </c>
      <c r="AO33" s="336">
        <f>IF(AS33&lt;=0,0,(B33*K33*2)/Projektspecifikt!$B$7*'Kalkylvärden 1'!$A$182)</f>
        <v>0</v>
      </c>
      <c r="AP33" s="336">
        <f t="shared" si="6"/>
        <v>0</v>
      </c>
      <c r="AQ33" s="275">
        <f t="shared" si="7"/>
        <v>0</v>
      </c>
      <c r="AR33" s="275">
        <f t="shared" si="8"/>
        <v>0</v>
      </c>
      <c r="AS33" s="332">
        <f>('Gods UA2'!K33/Projektspecifikt!$B$8)*B33:B62</f>
        <v>0</v>
      </c>
      <c r="AT33" s="275">
        <f>(H33+(G33*'Kalkylvärden 1'!$G$9/60)+J33)*B33:B62</f>
        <v>0</v>
      </c>
      <c r="AU33" s="275" t="e">
        <f t="shared" si="2"/>
        <v>#DIV/0!</v>
      </c>
      <c r="AV33" s="275" t="e">
        <f>IF(AR33&lt;=0,AU33,((AR33*'Kalkylvärden 1'!$A$112)+(AS33*'Kalkylvärden 1'!$A$114)))</f>
        <v>#DIV/0!</v>
      </c>
      <c r="AW33" s="275">
        <f>(B33*(H33+J33+(G33*'Kalkylvärden 1'!$G$9/60)))*((N33/100*'Kalkylvärden 1'!$B$195)+(O33/100*'Kalkylvärden 1'!$B$196)+(P33/100*'Kalkylvärden 1'!$B$197)+(Q33/100*'Kalkylvärden 1'!$B$198)+(R33/100*'Kalkylvärden 1'!$B$199)+(S33/100*'Kalkylvärden 1'!$B$200)+('Gods UA2'!T33/100*'Kalkylvärden 1'!$B$201)+('Gods UA2'!U33/100*'Kalkylvärden 1'!$B$202)+('Gods UA2'!V33/100*'Kalkylvärden 1'!$B$203)+('Gods UA2'!W33/100*'Kalkylvärden 1'!$B$204)+('Gods UA2'!X33/100*'Kalkylvärden 1'!$B$205)+('Gods UA2'!Y33/100*'Kalkylvärden 1'!$B$206))</f>
        <v>0</v>
      </c>
      <c r="AX33" s="275">
        <f>IF(AR33&lt;=0,AW33,(B33*(K33)/Projektspecifikt!$B$8)*((N33/100*'Kalkylvärden 1'!$B$195)+('Gods UA2'!O33/100*'Kalkylvärden 1'!$B$196)+('Gods UA2'!P33/100*'Kalkylvärden 1'!$B$197)+('Gods UA2'!Q33/100*'Kalkylvärden 1'!$B$198)+('Gods UA2'!R33/100*'Kalkylvärden 1'!$B$199)+('Gods UA2'!S33/100*'Kalkylvärden 1'!$B$200)+('Gods UA2'!T33/100*'Kalkylvärden 1'!$B$201)+('Gods UA2'!U33/100*'Kalkylvärden 1'!$B$202)+('Gods UA2'!V33/100*'Kalkylvärden 1'!$B$203)+('Gods UA2'!W33/100*'Kalkylvärden 1'!$B$204)+('Gods UA2'!X33/100*'Kalkylvärden 1'!$B$205)+('Gods UA2'!Y33/100*'Kalkylvärden 1'!$B$206)))</f>
        <v>0</v>
      </c>
      <c r="AY33"/>
      <c r="BB33" s="144"/>
      <c r="BC33" s="144"/>
      <c r="BD33" s="275"/>
      <c r="BE33" s="275"/>
      <c r="BF33" s="275"/>
      <c r="BG33" s="275"/>
      <c r="BH33" s="203"/>
      <c r="BI33" s="275"/>
      <c r="BJ33" s="275"/>
      <c r="BK33" s="275"/>
      <c r="BL33" s="275"/>
      <c r="BM33" s="275"/>
      <c r="BN33" s="1"/>
      <c r="BQ33"/>
      <c r="BR33" s="1"/>
      <c r="BS33"/>
      <c r="BT33" s="1"/>
      <c r="BU33"/>
      <c r="BW33" s="275"/>
      <c r="BY33" s="1"/>
    </row>
    <row r="34" spans="1:77" x14ac:dyDescent="0.25">
      <c r="A34" s="231" t="s">
        <v>329</v>
      </c>
      <c r="B34" s="262"/>
      <c r="C34" s="262"/>
      <c r="D34" s="239" t="e">
        <f t="shared" si="3"/>
        <v>#DIV/0!</v>
      </c>
      <c r="E34" s="307"/>
      <c r="F34" s="307"/>
      <c r="G34" s="262"/>
      <c r="H34" s="307"/>
      <c r="I34" s="262"/>
      <c r="J34" s="262"/>
      <c r="K34" s="338"/>
      <c r="L34" s="59">
        <f>K34/Projektspecifikt!$B$8</f>
        <v>0</v>
      </c>
      <c r="M34" s="339"/>
      <c r="N34" s="262"/>
      <c r="O34" s="262"/>
      <c r="P34" s="262"/>
      <c r="Q34" s="262"/>
      <c r="R34" s="262"/>
      <c r="S34" s="262"/>
      <c r="T34" s="262"/>
      <c r="U34" s="262"/>
      <c r="V34" s="262"/>
      <c r="W34" s="262"/>
      <c r="X34" s="262"/>
      <c r="Y34" s="262"/>
      <c r="Z34" s="233" t="str">
        <f t="shared" si="4"/>
        <v>FEL</v>
      </c>
      <c r="AA34" s="261">
        <f>'Gods UA1'!Y28</f>
        <v>20</v>
      </c>
      <c r="AB34" s="261">
        <f>'Gods UA1'!Z28</f>
        <v>10</v>
      </c>
      <c r="AC34" s="261">
        <f>'Gods UA1'!AA28</f>
        <v>50</v>
      </c>
      <c r="AD34" s="261">
        <v>0</v>
      </c>
      <c r="AE34" s="275" t="e">
        <f>IF(AD34=0,(('Kalkylvärden 1'!$D$97+AA34*('Kalkylvärden 1'!$D$98*(1-'Gods UA2'!AC34/100)+'Kalkylvärden 1'!$D$99*'Gods UA2'!AC34/100)+AB34*('Kalkylvärden 1'!$D$100*(1-'Gods UA2'!AC34/100)+'Kalkylvärden 1'!$D$101*'Gods UA2'!AC34/100))*E34/(E34+F34)+('Kalkylvärden 1'!$E$97+AA34*('Kalkylvärden 1'!$E$98*(1-'Gods UA2'!AC34/100)+'Kalkylvärden 1'!$E$99*'Gods UA2'!AC34/100)+AB34*('Kalkylvärden 1'!$E$100*(1-'Gods UA2'!AC34/100)+'Kalkylvärden 1'!$E$101*'Gods UA2'!AC34/100))*F34/(E34+F34)),((AA34+AB34)/('Kalkylvärden 1'!$H$98+'Kalkylvärden 1'!$H$99)*'Kalkylvärden 1'!$G$102))</f>
        <v>#DIV/0!</v>
      </c>
      <c r="AF34" s="361">
        <f>IF(AD34=0,('Kalkylvärden 1'!$D$103+AA34*'Kalkylvärden 1'!$D$104+'Gods UA2'!AB34*'Kalkylvärden 1'!$D$105),((AA34+AB34)/('Kalkylvärden 1'!$H$98+'Kalkylvärden 1'!$H$99)*'Kalkylvärden 1'!$G$105))</f>
        <v>54.767843200000002</v>
      </c>
      <c r="AG34" s="275" t="e">
        <f t="shared" si="0"/>
        <v>#DIV/0!</v>
      </c>
      <c r="AH34" s="275" t="e">
        <f>(AF34*(H34+J34)*60*2)+(AF34*G34*'Kalkylvärden 1'!$G$9*2)+(J34*'Kalkylvärden 1'!$G$10*'Kalkylvärden 1'!$M$100)+(M34*'Kalkylvärden 1'!$D$11*B34/C34)</f>
        <v>#DIV/0!</v>
      </c>
      <c r="AI34" s="275" t="e">
        <f t="shared" si="5"/>
        <v>#DIV/0!</v>
      </c>
      <c r="AJ34" s="275" t="e">
        <f t="shared" si="1"/>
        <v>#DIV/0!</v>
      </c>
      <c r="AK34" s="275">
        <f>(-B34*(E34+F34)*2*'Kalkylvärden 1'!$A$184)</f>
        <v>0</v>
      </c>
      <c r="AL34" s="275">
        <f>(-B34*(E34+F34)*2*'Kalkylvärden 1'!$A$186)</f>
        <v>0</v>
      </c>
      <c r="AM34" s="275">
        <f>(-B34*F34*2*'Kalkylvärden 1'!$A$188)</f>
        <v>0</v>
      </c>
      <c r="AN34" s="336">
        <f>IF(K34&lt;=0,0,((B34*K34*2)/Projektspecifikt!$B$7*'Kalkylvärden 1'!$A$180))</f>
        <v>0</v>
      </c>
      <c r="AO34" s="336">
        <f>IF(AS34&lt;=0,0,(B34*K34*2)/Projektspecifikt!$B$7*'Kalkylvärden 1'!$A$182)</f>
        <v>0</v>
      </c>
      <c r="AP34" s="336">
        <f t="shared" si="6"/>
        <v>0</v>
      </c>
      <c r="AQ34" s="275">
        <f t="shared" si="7"/>
        <v>0</v>
      </c>
      <c r="AR34" s="275">
        <f t="shared" si="8"/>
        <v>0</v>
      </c>
      <c r="AS34" s="332">
        <f>('Gods UA2'!K34/Projektspecifikt!$B$8)*B34:B63</f>
        <v>0</v>
      </c>
      <c r="AT34" s="275">
        <f>(H34+(G34*'Kalkylvärden 1'!$G$9/60)+J34)*B34:B63</f>
        <v>0</v>
      </c>
      <c r="AU34" s="275" t="e">
        <f t="shared" si="2"/>
        <v>#DIV/0!</v>
      </c>
      <c r="AV34" s="275" t="e">
        <f>IF(AR34&lt;=0,AU34,((AR34*'Kalkylvärden 1'!$A$112)+(AS34*'Kalkylvärden 1'!$A$114)))</f>
        <v>#DIV/0!</v>
      </c>
      <c r="AW34" s="275">
        <f>(B34*(H34+J34+(G34*'Kalkylvärden 1'!$G$9/60)))*((N34/100*'Kalkylvärden 1'!$B$195)+(O34/100*'Kalkylvärden 1'!$B$196)+(P34/100*'Kalkylvärden 1'!$B$197)+(Q34/100*'Kalkylvärden 1'!$B$198)+(R34/100*'Kalkylvärden 1'!$B$199)+(S34/100*'Kalkylvärden 1'!$B$200)+('Gods UA2'!T34/100*'Kalkylvärden 1'!$B$201)+('Gods UA2'!U34/100*'Kalkylvärden 1'!$B$202)+('Gods UA2'!V34/100*'Kalkylvärden 1'!$B$203)+('Gods UA2'!W34/100*'Kalkylvärden 1'!$B$204)+('Gods UA2'!X34/100*'Kalkylvärden 1'!$B$205)+('Gods UA2'!Y34/100*'Kalkylvärden 1'!$B$206))</f>
        <v>0</v>
      </c>
      <c r="AX34" s="275">
        <f>IF(AR34&lt;=0,AW34,(B34*(K34)/Projektspecifikt!$B$8)*((N34/100*'Kalkylvärden 1'!$B$195)+('Gods UA2'!O34/100*'Kalkylvärden 1'!$B$196)+('Gods UA2'!P34/100*'Kalkylvärden 1'!$B$197)+('Gods UA2'!Q34/100*'Kalkylvärden 1'!$B$198)+('Gods UA2'!R34/100*'Kalkylvärden 1'!$B$199)+('Gods UA2'!S34/100*'Kalkylvärden 1'!$B$200)+('Gods UA2'!T34/100*'Kalkylvärden 1'!$B$201)+('Gods UA2'!U34/100*'Kalkylvärden 1'!$B$202)+('Gods UA2'!V34/100*'Kalkylvärden 1'!$B$203)+('Gods UA2'!W34/100*'Kalkylvärden 1'!$B$204)+('Gods UA2'!X34/100*'Kalkylvärden 1'!$B$205)+('Gods UA2'!Y34/100*'Kalkylvärden 1'!$B$206)))</f>
        <v>0</v>
      </c>
      <c r="AY34"/>
      <c r="BB34" s="144"/>
      <c r="BC34" s="144"/>
      <c r="BD34" s="275"/>
      <c r="BE34" s="275"/>
      <c r="BF34" s="275"/>
      <c r="BG34" s="275"/>
      <c r="BH34" s="203"/>
      <c r="BI34" s="275"/>
      <c r="BJ34" s="275"/>
      <c r="BK34" s="275"/>
      <c r="BL34" s="275"/>
      <c r="BM34" s="275"/>
      <c r="BN34" s="1"/>
      <c r="BQ34"/>
      <c r="BR34" s="1"/>
      <c r="BS34"/>
      <c r="BT34" s="1"/>
      <c r="BU34"/>
      <c r="BW34" s="275"/>
      <c r="BY34" s="1"/>
    </row>
    <row r="35" spans="1:77" x14ac:dyDescent="0.25">
      <c r="A35" s="231" t="s">
        <v>329</v>
      </c>
      <c r="B35" s="262"/>
      <c r="C35" s="262"/>
      <c r="D35" s="239" t="e">
        <f t="shared" si="3"/>
        <v>#DIV/0!</v>
      </c>
      <c r="E35" s="307"/>
      <c r="F35" s="307"/>
      <c r="G35" s="262"/>
      <c r="H35" s="307"/>
      <c r="I35" s="262"/>
      <c r="J35" s="262"/>
      <c r="K35" s="338"/>
      <c r="L35" s="59">
        <f>K35/Projektspecifikt!$B$8</f>
        <v>0</v>
      </c>
      <c r="M35" s="339"/>
      <c r="N35" s="262"/>
      <c r="O35" s="262"/>
      <c r="P35" s="262"/>
      <c r="Q35" s="262"/>
      <c r="R35" s="262"/>
      <c r="S35" s="262"/>
      <c r="T35" s="262"/>
      <c r="U35" s="262"/>
      <c r="V35" s="262"/>
      <c r="W35" s="262"/>
      <c r="X35" s="262"/>
      <c r="Y35" s="262"/>
      <c r="Z35" s="233" t="str">
        <f t="shared" si="4"/>
        <v>FEL</v>
      </c>
      <c r="AA35" s="261">
        <f>'Gods UA1'!Y29</f>
        <v>20</v>
      </c>
      <c r="AB35" s="261">
        <f>'Gods UA1'!Z29</f>
        <v>10</v>
      </c>
      <c r="AC35" s="261">
        <f>'Gods UA1'!AA29</f>
        <v>50</v>
      </c>
      <c r="AD35" s="261">
        <v>0</v>
      </c>
      <c r="AE35" s="275" t="e">
        <f>IF(AD35=0,(('Kalkylvärden 1'!$D$97+AA35*('Kalkylvärden 1'!$D$98*(1-'Gods UA2'!AC35/100)+'Kalkylvärden 1'!$D$99*'Gods UA2'!AC35/100)+AB35*('Kalkylvärden 1'!$D$100*(1-'Gods UA2'!AC35/100)+'Kalkylvärden 1'!$D$101*'Gods UA2'!AC35/100))*E35/(E35+F35)+('Kalkylvärden 1'!$E$97+AA35*('Kalkylvärden 1'!$E$98*(1-'Gods UA2'!AC35/100)+'Kalkylvärden 1'!$E$99*'Gods UA2'!AC35/100)+AB35*('Kalkylvärden 1'!$E$100*(1-'Gods UA2'!AC35/100)+'Kalkylvärden 1'!$E$101*'Gods UA2'!AC35/100))*F35/(E35+F35)),((AA35+AB35)/('Kalkylvärden 1'!$H$98+'Kalkylvärden 1'!$H$99)*'Kalkylvärden 1'!$G$102))</f>
        <v>#DIV/0!</v>
      </c>
      <c r="AF35" s="361">
        <f>IF(AD35=0,('Kalkylvärden 1'!$D$103+AA35*'Kalkylvärden 1'!$D$104+'Gods UA2'!AB35*'Kalkylvärden 1'!$D$105),((AA35+AB35)/('Kalkylvärden 1'!$H$98+'Kalkylvärden 1'!$H$99)*'Kalkylvärden 1'!$G$105))</f>
        <v>54.767843200000002</v>
      </c>
      <c r="AG35" s="275" t="e">
        <f t="shared" si="0"/>
        <v>#DIV/0!</v>
      </c>
      <c r="AH35" s="275" t="e">
        <f>(AF35*(H35+J35)*60*2)+(AF35*G35*'Kalkylvärden 1'!$G$9*2)+(J35*'Kalkylvärden 1'!$G$10*'Kalkylvärden 1'!$M$100)+(M35*'Kalkylvärden 1'!$D$11*B35/C35)</f>
        <v>#DIV/0!</v>
      </c>
      <c r="AI35" s="275" t="e">
        <f t="shared" si="5"/>
        <v>#DIV/0!</v>
      </c>
      <c r="AJ35" s="275" t="e">
        <f t="shared" si="1"/>
        <v>#DIV/0!</v>
      </c>
      <c r="AK35" s="275">
        <f>(-B35*(E35+F35)*2*'Kalkylvärden 1'!$A$184)</f>
        <v>0</v>
      </c>
      <c r="AL35" s="275">
        <f>(-B35*(E35+F35)*2*'Kalkylvärden 1'!$A$186)</f>
        <v>0</v>
      </c>
      <c r="AM35" s="275">
        <f>(-B35*F35*2*'Kalkylvärden 1'!$A$188)</f>
        <v>0</v>
      </c>
      <c r="AN35" s="336">
        <f>IF(K35&lt;=0,0,((B35*K35*2)/Projektspecifikt!$B$7*'Kalkylvärden 1'!$A$180))</f>
        <v>0</v>
      </c>
      <c r="AO35" s="336">
        <f>IF(AS35&lt;=0,0,(B35*K35*2)/Projektspecifikt!$B$7*'Kalkylvärden 1'!$A$182)</f>
        <v>0</v>
      </c>
      <c r="AP35" s="336">
        <f t="shared" si="6"/>
        <v>0</v>
      </c>
      <c r="AQ35" s="275">
        <f t="shared" si="7"/>
        <v>0</v>
      </c>
      <c r="AR35" s="275">
        <f t="shared" si="8"/>
        <v>0</v>
      </c>
      <c r="AS35" s="332">
        <f>('Gods UA2'!K35/Projektspecifikt!$B$8)*B35:B64</f>
        <v>0</v>
      </c>
      <c r="AT35" s="275">
        <f>(H35+(G35*'Kalkylvärden 1'!$G$9/60)+J35)*B35:B64</f>
        <v>0</v>
      </c>
      <c r="AU35" s="275" t="e">
        <f t="shared" si="2"/>
        <v>#DIV/0!</v>
      </c>
      <c r="AV35" s="275" t="e">
        <f>IF(AR35&lt;=0,AU35,((AR35*'Kalkylvärden 1'!$A$112)+(AS35*'Kalkylvärden 1'!$A$114)))</f>
        <v>#DIV/0!</v>
      </c>
      <c r="AW35" s="275">
        <f>(B35*(H35+J35+(G35*'Kalkylvärden 1'!$G$9/60)))*((N35/100*'Kalkylvärden 1'!$B$195)+(O35/100*'Kalkylvärden 1'!$B$196)+(P35/100*'Kalkylvärden 1'!$B$197)+(Q35/100*'Kalkylvärden 1'!$B$198)+(R35/100*'Kalkylvärden 1'!$B$199)+(S35/100*'Kalkylvärden 1'!$B$200)+('Gods UA2'!T35/100*'Kalkylvärden 1'!$B$201)+('Gods UA2'!U35/100*'Kalkylvärden 1'!$B$202)+('Gods UA2'!V35/100*'Kalkylvärden 1'!$B$203)+('Gods UA2'!W35/100*'Kalkylvärden 1'!$B$204)+('Gods UA2'!X35/100*'Kalkylvärden 1'!$B$205)+('Gods UA2'!Y35/100*'Kalkylvärden 1'!$B$206))</f>
        <v>0</v>
      </c>
      <c r="AX35" s="275">
        <f>IF(AR35&lt;=0,AW35,(B35*(K35)/Projektspecifikt!$B$8)*((N35/100*'Kalkylvärden 1'!$B$195)+('Gods UA2'!O35/100*'Kalkylvärden 1'!$B$196)+('Gods UA2'!P35/100*'Kalkylvärden 1'!$B$197)+('Gods UA2'!Q35/100*'Kalkylvärden 1'!$B$198)+('Gods UA2'!R35/100*'Kalkylvärden 1'!$B$199)+('Gods UA2'!S35/100*'Kalkylvärden 1'!$B$200)+('Gods UA2'!T35/100*'Kalkylvärden 1'!$B$201)+('Gods UA2'!U35/100*'Kalkylvärden 1'!$B$202)+('Gods UA2'!V35/100*'Kalkylvärden 1'!$B$203)+('Gods UA2'!W35/100*'Kalkylvärden 1'!$B$204)+('Gods UA2'!X35/100*'Kalkylvärden 1'!$B$205)+('Gods UA2'!Y35/100*'Kalkylvärden 1'!$B$206)))</f>
        <v>0</v>
      </c>
      <c r="AY35"/>
      <c r="BB35" s="144"/>
      <c r="BC35" s="144"/>
      <c r="BD35" s="275"/>
      <c r="BE35" s="275"/>
      <c r="BF35" s="275"/>
      <c r="BG35" s="275"/>
      <c r="BH35" s="203"/>
      <c r="BI35" s="275"/>
      <c r="BJ35" s="275"/>
      <c r="BK35" s="275"/>
      <c r="BL35" s="275"/>
      <c r="BM35" s="275"/>
      <c r="BN35" s="1"/>
      <c r="BQ35"/>
      <c r="BR35" s="1"/>
      <c r="BS35"/>
      <c r="BT35" s="1"/>
      <c r="BU35"/>
      <c r="BW35" s="275"/>
      <c r="BY35" s="1"/>
    </row>
    <row r="36" spans="1:77" x14ac:dyDescent="0.25">
      <c r="A36" s="231" t="s">
        <v>329</v>
      </c>
      <c r="B36" s="262"/>
      <c r="C36" s="262"/>
      <c r="D36" s="239" t="e">
        <f t="shared" si="3"/>
        <v>#DIV/0!</v>
      </c>
      <c r="E36" s="307"/>
      <c r="F36" s="307"/>
      <c r="G36" s="262"/>
      <c r="H36" s="307"/>
      <c r="I36" s="262"/>
      <c r="J36" s="262"/>
      <c r="K36" s="338"/>
      <c r="L36" s="59">
        <f>K36/Projektspecifikt!$B$8</f>
        <v>0</v>
      </c>
      <c r="M36" s="339"/>
      <c r="N36" s="262"/>
      <c r="O36" s="262"/>
      <c r="P36" s="262"/>
      <c r="Q36" s="262"/>
      <c r="R36" s="262"/>
      <c r="S36" s="262"/>
      <c r="T36" s="262"/>
      <c r="U36" s="262"/>
      <c r="V36" s="262"/>
      <c r="W36" s="262"/>
      <c r="X36" s="262"/>
      <c r="Y36" s="262"/>
      <c r="Z36" s="233" t="str">
        <f t="shared" si="4"/>
        <v>FEL</v>
      </c>
      <c r="AA36" s="261">
        <f>'Gods UA1'!Y30</f>
        <v>20</v>
      </c>
      <c r="AB36" s="261">
        <f>'Gods UA1'!Z30</f>
        <v>10</v>
      </c>
      <c r="AC36" s="261">
        <f>'Gods UA1'!AA30</f>
        <v>50</v>
      </c>
      <c r="AD36" s="261">
        <v>0</v>
      </c>
      <c r="AE36" s="275" t="e">
        <f>IF(AD36=0,(('Kalkylvärden 1'!$D$97+AA36*('Kalkylvärden 1'!$D$98*(1-'Gods UA2'!AC36/100)+'Kalkylvärden 1'!$D$99*'Gods UA2'!AC36/100)+AB36*('Kalkylvärden 1'!$D$100*(1-'Gods UA2'!AC36/100)+'Kalkylvärden 1'!$D$101*'Gods UA2'!AC36/100))*E36/(E36+F36)+('Kalkylvärden 1'!$E$97+AA36*('Kalkylvärden 1'!$E$98*(1-'Gods UA2'!AC36/100)+'Kalkylvärden 1'!$E$99*'Gods UA2'!AC36/100)+AB36*('Kalkylvärden 1'!$E$100*(1-'Gods UA2'!AC36/100)+'Kalkylvärden 1'!$E$101*'Gods UA2'!AC36/100))*F36/(E36+F36)),((AA36+AB36)/('Kalkylvärden 1'!$H$98+'Kalkylvärden 1'!$H$99)*'Kalkylvärden 1'!$G$102))</f>
        <v>#DIV/0!</v>
      </c>
      <c r="AF36" s="361">
        <f>IF(AD36=0,('Kalkylvärden 1'!$D$103+AA36*'Kalkylvärden 1'!$D$104+'Gods UA2'!AB36*'Kalkylvärden 1'!$D$105),((AA36+AB36)/('Kalkylvärden 1'!$H$98+'Kalkylvärden 1'!$H$99)*'Kalkylvärden 1'!$G$105))</f>
        <v>54.767843200000002</v>
      </c>
      <c r="AG36" s="275" t="e">
        <f t="shared" si="0"/>
        <v>#DIV/0!</v>
      </c>
      <c r="AH36" s="275" t="e">
        <f>(AF36*(H36+J36)*60*2)+(AF36*G36*'Kalkylvärden 1'!$G$9*2)+(J36*'Kalkylvärden 1'!$G$10*'Kalkylvärden 1'!$M$100)+(M36*'Kalkylvärden 1'!$D$11*B36/C36)</f>
        <v>#DIV/0!</v>
      </c>
      <c r="AI36" s="275" t="e">
        <f t="shared" si="5"/>
        <v>#DIV/0!</v>
      </c>
      <c r="AJ36" s="275" t="e">
        <f t="shared" si="1"/>
        <v>#DIV/0!</v>
      </c>
      <c r="AK36" s="275">
        <f>(-B36*(E36+F36)*2*'Kalkylvärden 1'!$A$184)</f>
        <v>0</v>
      </c>
      <c r="AL36" s="275">
        <f>(-B36*(E36+F36)*2*'Kalkylvärden 1'!$A$186)</f>
        <v>0</v>
      </c>
      <c r="AM36" s="275">
        <f>(-B36*F36*2*'Kalkylvärden 1'!$A$188)</f>
        <v>0</v>
      </c>
      <c r="AN36" s="336">
        <f>IF(K36&lt;=0,0,((B36*K36*2)/Projektspecifikt!$B$7*'Kalkylvärden 1'!$A$180))</f>
        <v>0</v>
      </c>
      <c r="AO36" s="336">
        <f>IF(AS36&lt;=0,0,(B36*K36*2)/Projektspecifikt!$B$7*'Kalkylvärden 1'!$A$182)</f>
        <v>0</v>
      </c>
      <c r="AP36" s="336">
        <f t="shared" si="6"/>
        <v>0</v>
      </c>
      <c r="AQ36" s="275">
        <f t="shared" si="7"/>
        <v>0</v>
      </c>
      <c r="AR36" s="275">
        <f t="shared" si="8"/>
        <v>0</v>
      </c>
      <c r="AS36" s="332">
        <f>('Gods UA2'!K36/Projektspecifikt!$B$8)*B36:B65</f>
        <v>0</v>
      </c>
      <c r="AT36" s="275">
        <f>(H36+(G36*'Kalkylvärden 1'!$G$9/60)+J36)*B36:B65</f>
        <v>0</v>
      </c>
      <c r="AU36" s="275" t="e">
        <f t="shared" si="2"/>
        <v>#DIV/0!</v>
      </c>
      <c r="AV36" s="275" t="e">
        <f>IF(AR36&lt;=0,AU36,((AR36*'Kalkylvärden 1'!$A$112)+(AS36*'Kalkylvärden 1'!$A$114)))</f>
        <v>#DIV/0!</v>
      </c>
      <c r="AW36" s="275">
        <f>(B36*(H36+J36+(G36*'Kalkylvärden 1'!$G$9/60)))*((N36/100*'Kalkylvärden 1'!$B$195)+(O36/100*'Kalkylvärden 1'!$B$196)+(P36/100*'Kalkylvärden 1'!$B$197)+(Q36/100*'Kalkylvärden 1'!$B$198)+(R36/100*'Kalkylvärden 1'!$B$199)+(S36/100*'Kalkylvärden 1'!$B$200)+('Gods UA2'!T36/100*'Kalkylvärden 1'!$B$201)+('Gods UA2'!U36/100*'Kalkylvärden 1'!$B$202)+('Gods UA2'!V36/100*'Kalkylvärden 1'!$B$203)+('Gods UA2'!W36/100*'Kalkylvärden 1'!$B$204)+('Gods UA2'!X36/100*'Kalkylvärden 1'!$B$205)+('Gods UA2'!Y36/100*'Kalkylvärden 1'!$B$206))</f>
        <v>0</v>
      </c>
      <c r="AX36" s="275">
        <f>IF(AR36&lt;=0,AW36,(B36*(K36)/Projektspecifikt!$B$8)*((N36/100*'Kalkylvärden 1'!$B$195)+('Gods UA2'!O36/100*'Kalkylvärden 1'!$B$196)+('Gods UA2'!P36/100*'Kalkylvärden 1'!$B$197)+('Gods UA2'!Q36/100*'Kalkylvärden 1'!$B$198)+('Gods UA2'!R36/100*'Kalkylvärden 1'!$B$199)+('Gods UA2'!S36/100*'Kalkylvärden 1'!$B$200)+('Gods UA2'!T36/100*'Kalkylvärden 1'!$B$201)+('Gods UA2'!U36/100*'Kalkylvärden 1'!$B$202)+('Gods UA2'!V36/100*'Kalkylvärden 1'!$B$203)+('Gods UA2'!W36/100*'Kalkylvärden 1'!$B$204)+('Gods UA2'!X36/100*'Kalkylvärden 1'!$B$205)+('Gods UA2'!Y36/100*'Kalkylvärden 1'!$B$206)))</f>
        <v>0</v>
      </c>
      <c r="AY36"/>
      <c r="BB36" s="144"/>
      <c r="BC36" s="144"/>
      <c r="BD36" s="275"/>
      <c r="BE36" s="275"/>
      <c r="BF36" s="275"/>
      <c r="BG36" s="275"/>
      <c r="BH36" s="203"/>
      <c r="BI36" s="275"/>
      <c r="BJ36" s="275"/>
      <c r="BK36" s="275"/>
      <c r="BL36" s="275"/>
      <c r="BM36" s="275"/>
      <c r="BN36" s="1"/>
      <c r="BQ36"/>
      <c r="BR36" s="1"/>
      <c r="BS36"/>
      <c r="BT36" s="1"/>
      <c r="BU36"/>
      <c r="BW36" s="275"/>
      <c r="BY36" s="1"/>
    </row>
    <row r="37" spans="1:77" x14ac:dyDescent="0.25">
      <c r="A37" s="231" t="s">
        <v>329</v>
      </c>
      <c r="B37" s="262"/>
      <c r="C37" s="262"/>
      <c r="D37" s="239" t="e">
        <f t="shared" si="3"/>
        <v>#DIV/0!</v>
      </c>
      <c r="E37" s="307"/>
      <c r="F37" s="307"/>
      <c r="G37" s="262"/>
      <c r="H37" s="307"/>
      <c r="I37" s="262"/>
      <c r="J37" s="262"/>
      <c r="K37" s="338"/>
      <c r="L37" s="59">
        <f>K37/Projektspecifikt!$B$8</f>
        <v>0</v>
      </c>
      <c r="M37" s="339"/>
      <c r="N37" s="262"/>
      <c r="O37" s="262"/>
      <c r="P37" s="262"/>
      <c r="Q37" s="262"/>
      <c r="R37" s="262"/>
      <c r="S37" s="262"/>
      <c r="T37" s="262"/>
      <c r="U37" s="262"/>
      <c r="V37" s="262"/>
      <c r="W37" s="262"/>
      <c r="X37" s="262"/>
      <c r="Y37" s="262"/>
      <c r="Z37" s="233" t="str">
        <f t="shared" si="4"/>
        <v>FEL</v>
      </c>
      <c r="AA37" s="261">
        <f>'Gods UA1'!Y31</f>
        <v>20</v>
      </c>
      <c r="AB37" s="261">
        <f>'Gods UA1'!Z31</f>
        <v>10</v>
      </c>
      <c r="AC37" s="261">
        <f>'Gods UA1'!AA31</f>
        <v>50</v>
      </c>
      <c r="AD37" s="261">
        <v>0</v>
      </c>
      <c r="AE37" s="275" t="e">
        <f>IF(AD37=0,(('Kalkylvärden 1'!$D$97+AA37*('Kalkylvärden 1'!$D$98*(1-'Gods UA2'!AC37/100)+'Kalkylvärden 1'!$D$99*'Gods UA2'!AC37/100)+AB37*('Kalkylvärden 1'!$D$100*(1-'Gods UA2'!AC37/100)+'Kalkylvärden 1'!$D$101*'Gods UA2'!AC37/100))*E37/(E37+F37)+('Kalkylvärden 1'!$E$97+AA37*('Kalkylvärden 1'!$E$98*(1-'Gods UA2'!AC37/100)+'Kalkylvärden 1'!$E$99*'Gods UA2'!AC37/100)+AB37*('Kalkylvärden 1'!$E$100*(1-'Gods UA2'!AC37/100)+'Kalkylvärden 1'!$E$101*'Gods UA2'!AC37/100))*F37/(E37+F37)),((AA37+AB37)/('Kalkylvärden 1'!$H$98+'Kalkylvärden 1'!$H$99)*'Kalkylvärden 1'!$G$102))</f>
        <v>#DIV/0!</v>
      </c>
      <c r="AF37" s="361">
        <f>IF(AD37=0,('Kalkylvärden 1'!$D$103+AA37*'Kalkylvärden 1'!$D$104+'Gods UA2'!AB37*'Kalkylvärden 1'!$D$105),((AA37+AB37)/('Kalkylvärden 1'!$H$98+'Kalkylvärden 1'!$H$99)*'Kalkylvärden 1'!$G$105))</f>
        <v>54.767843200000002</v>
      </c>
      <c r="AG37" s="275" t="e">
        <f t="shared" si="0"/>
        <v>#DIV/0!</v>
      </c>
      <c r="AH37" s="275" t="e">
        <f>(AF37*(H37+J37)*60*2)+(AF37*G37*'Kalkylvärden 1'!$G$9*2)+(J37*'Kalkylvärden 1'!$G$10*'Kalkylvärden 1'!$M$100)+(M37*'Kalkylvärden 1'!$D$11*B37/C37)</f>
        <v>#DIV/0!</v>
      </c>
      <c r="AI37" s="275" t="e">
        <f t="shared" si="5"/>
        <v>#DIV/0!</v>
      </c>
      <c r="AJ37" s="275" t="e">
        <f t="shared" si="1"/>
        <v>#DIV/0!</v>
      </c>
      <c r="AK37" s="275">
        <f>(-B37*(E37+F37)*2*'Kalkylvärden 1'!$A$184)</f>
        <v>0</v>
      </c>
      <c r="AL37" s="275">
        <f>(-B37*(E37+F37)*2*'Kalkylvärden 1'!$A$186)</f>
        <v>0</v>
      </c>
      <c r="AM37" s="275">
        <f>(-B37*F37*2*'Kalkylvärden 1'!$A$188)</f>
        <v>0</v>
      </c>
      <c r="AN37" s="336">
        <f>IF(K37&lt;=0,0,((B37*K37*2)/Projektspecifikt!$B$7*'Kalkylvärden 1'!$A$180))</f>
        <v>0</v>
      </c>
      <c r="AO37" s="336">
        <f>IF(AS37&lt;=0,0,(B37*K37*2)/Projektspecifikt!$B$7*'Kalkylvärden 1'!$A$182)</f>
        <v>0</v>
      </c>
      <c r="AP37" s="336">
        <f t="shared" si="6"/>
        <v>0</v>
      </c>
      <c r="AQ37" s="275">
        <f t="shared" si="7"/>
        <v>0</v>
      </c>
      <c r="AR37" s="275">
        <f t="shared" si="8"/>
        <v>0</v>
      </c>
      <c r="AS37" s="332">
        <f>('Gods UA2'!K37/Projektspecifikt!$B$8)*B37:B66</f>
        <v>0</v>
      </c>
      <c r="AT37" s="275">
        <f>(H37+(G37*'Kalkylvärden 1'!$G$9/60)+J37)*B37:B66</f>
        <v>0</v>
      </c>
      <c r="AU37" s="275" t="e">
        <f t="shared" si="2"/>
        <v>#DIV/0!</v>
      </c>
      <c r="AV37" s="275" t="e">
        <f>IF(AR37&lt;=0,AU37,((AR37*'Kalkylvärden 1'!$A$112)+(AS37*'Kalkylvärden 1'!$A$114)))</f>
        <v>#DIV/0!</v>
      </c>
      <c r="AW37" s="275">
        <f>(B37*(H37+J37+(G37*'Kalkylvärden 1'!$G$9/60)))*((N37/100*'Kalkylvärden 1'!$B$195)+(O37/100*'Kalkylvärden 1'!$B$196)+(P37/100*'Kalkylvärden 1'!$B$197)+(Q37/100*'Kalkylvärden 1'!$B$198)+(R37/100*'Kalkylvärden 1'!$B$199)+(S37/100*'Kalkylvärden 1'!$B$200)+('Gods UA2'!T37/100*'Kalkylvärden 1'!$B$201)+('Gods UA2'!U37/100*'Kalkylvärden 1'!$B$202)+('Gods UA2'!V37/100*'Kalkylvärden 1'!$B$203)+('Gods UA2'!W37/100*'Kalkylvärden 1'!$B$204)+('Gods UA2'!X37/100*'Kalkylvärden 1'!$B$205)+('Gods UA2'!Y37/100*'Kalkylvärden 1'!$B$206))</f>
        <v>0</v>
      </c>
      <c r="AX37" s="275">
        <f>IF(AR37&lt;=0,AW37,(B37*(K37)/Projektspecifikt!$B$8)*((N37/100*'Kalkylvärden 1'!$B$195)+('Gods UA2'!O37/100*'Kalkylvärden 1'!$B$196)+('Gods UA2'!P37/100*'Kalkylvärden 1'!$B$197)+('Gods UA2'!Q37/100*'Kalkylvärden 1'!$B$198)+('Gods UA2'!R37/100*'Kalkylvärden 1'!$B$199)+('Gods UA2'!S37/100*'Kalkylvärden 1'!$B$200)+('Gods UA2'!T37/100*'Kalkylvärden 1'!$B$201)+('Gods UA2'!U37/100*'Kalkylvärden 1'!$B$202)+('Gods UA2'!V37/100*'Kalkylvärden 1'!$B$203)+('Gods UA2'!W37/100*'Kalkylvärden 1'!$B$204)+('Gods UA2'!X37/100*'Kalkylvärden 1'!$B$205)+('Gods UA2'!Y37/100*'Kalkylvärden 1'!$B$206)))</f>
        <v>0</v>
      </c>
      <c r="AY37"/>
      <c r="BB37" s="144"/>
      <c r="BC37" s="144"/>
      <c r="BD37" s="275"/>
      <c r="BE37" s="275"/>
      <c r="BF37" s="275"/>
      <c r="BG37" s="275"/>
      <c r="BH37" s="203"/>
      <c r="BI37" s="275"/>
      <c r="BJ37" s="275"/>
      <c r="BK37" s="275"/>
      <c r="BL37" s="275"/>
      <c r="BM37" s="275"/>
      <c r="BN37" s="1"/>
      <c r="BQ37"/>
      <c r="BR37" s="1"/>
      <c r="BS37"/>
      <c r="BT37" s="1"/>
      <c r="BU37"/>
      <c r="BW37" s="275"/>
      <c r="BY37" s="1"/>
    </row>
    <row r="38" spans="1:77" x14ac:dyDescent="0.25">
      <c r="A38" s="231" t="s">
        <v>329</v>
      </c>
      <c r="B38" s="262"/>
      <c r="C38" s="262"/>
      <c r="D38" s="239" t="e">
        <f t="shared" si="3"/>
        <v>#DIV/0!</v>
      </c>
      <c r="E38" s="307"/>
      <c r="F38" s="307"/>
      <c r="G38" s="262"/>
      <c r="H38" s="307"/>
      <c r="I38" s="262"/>
      <c r="J38" s="262"/>
      <c r="K38" s="338"/>
      <c r="L38" s="59">
        <f>K38/Projektspecifikt!$B$8</f>
        <v>0</v>
      </c>
      <c r="M38" s="339"/>
      <c r="N38" s="262"/>
      <c r="O38" s="262"/>
      <c r="P38" s="262"/>
      <c r="Q38" s="262"/>
      <c r="R38" s="262"/>
      <c r="S38" s="262"/>
      <c r="T38" s="262"/>
      <c r="U38" s="262"/>
      <c r="V38" s="262"/>
      <c r="W38" s="262"/>
      <c r="X38" s="262"/>
      <c r="Y38" s="262"/>
      <c r="Z38" s="233" t="str">
        <f t="shared" si="4"/>
        <v>FEL</v>
      </c>
      <c r="AA38" s="261">
        <f>'Gods UA1'!Y32</f>
        <v>20</v>
      </c>
      <c r="AB38" s="261">
        <f>'Gods UA1'!Z32</f>
        <v>10</v>
      </c>
      <c r="AC38" s="261">
        <f>'Gods UA1'!AA32</f>
        <v>50</v>
      </c>
      <c r="AD38" s="261">
        <v>0</v>
      </c>
      <c r="AE38" s="275" t="e">
        <f>IF(AD38=0,(('Kalkylvärden 1'!$D$97+AA38*('Kalkylvärden 1'!$D$98*(1-'Gods UA2'!AC38/100)+'Kalkylvärden 1'!$D$99*'Gods UA2'!AC38/100)+AB38*('Kalkylvärden 1'!$D$100*(1-'Gods UA2'!AC38/100)+'Kalkylvärden 1'!$D$101*'Gods UA2'!AC38/100))*E38/(E38+F38)+('Kalkylvärden 1'!$E$97+AA38*('Kalkylvärden 1'!$E$98*(1-'Gods UA2'!AC38/100)+'Kalkylvärden 1'!$E$99*'Gods UA2'!AC38/100)+AB38*('Kalkylvärden 1'!$E$100*(1-'Gods UA2'!AC38/100)+'Kalkylvärden 1'!$E$101*'Gods UA2'!AC38/100))*F38/(E38+F38)),((AA38+AB38)/('Kalkylvärden 1'!$H$98+'Kalkylvärden 1'!$H$99)*'Kalkylvärden 1'!$G$102))</f>
        <v>#DIV/0!</v>
      </c>
      <c r="AF38" s="361">
        <f>IF(AD38=0,('Kalkylvärden 1'!$D$103+AA38*'Kalkylvärden 1'!$D$104+'Gods UA2'!AB38*'Kalkylvärden 1'!$D$105),((AA38+AB38)/('Kalkylvärden 1'!$H$98+'Kalkylvärden 1'!$H$99)*'Kalkylvärden 1'!$G$105))</f>
        <v>54.767843200000002</v>
      </c>
      <c r="AG38" s="275" t="e">
        <f t="shared" si="0"/>
        <v>#DIV/0!</v>
      </c>
      <c r="AH38" s="275" t="e">
        <f>(AF38*(H38+J38)*60*2)+(AF38*G38*'Kalkylvärden 1'!$G$9*2)+(J38*'Kalkylvärden 1'!$G$10*'Kalkylvärden 1'!$M$100)+(M38*'Kalkylvärden 1'!$D$11*B38/C38)</f>
        <v>#DIV/0!</v>
      </c>
      <c r="AI38" s="275" t="e">
        <f t="shared" si="5"/>
        <v>#DIV/0!</v>
      </c>
      <c r="AJ38" s="275" t="e">
        <f t="shared" si="1"/>
        <v>#DIV/0!</v>
      </c>
      <c r="AK38" s="275">
        <f>(-B38*(E38+F38)*2*'Kalkylvärden 1'!$A$184)</f>
        <v>0</v>
      </c>
      <c r="AL38" s="275">
        <f>(-B38*(E38+F38)*2*'Kalkylvärden 1'!$A$186)</f>
        <v>0</v>
      </c>
      <c r="AM38" s="275">
        <f>(-B38*F38*2*'Kalkylvärden 1'!$A$188)</f>
        <v>0</v>
      </c>
      <c r="AN38" s="336">
        <f>IF(K38&lt;=0,0,((B38*K38*2)/Projektspecifikt!$B$7*'Kalkylvärden 1'!$A$180))</f>
        <v>0</v>
      </c>
      <c r="AO38" s="336">
        <f>IF(AS38&lt;=0,0,(B38*K38*2)/Projektspecifikt!$B$7*'Kalkylvärden 1'!$A$182)</f>
        <v>0</v>
      </c>
      <c r="AP38" s="336">
        <f t="shared" si="6"/>
        <v>0</v>
      </c>
      <c r="AQ38" s="275">
        <f t="shared" si="7"/>
        <v>0</v>
      </c>
      <c r="AR38" s="275">
        <f t="shared" si="8"/>
        <v>0</v>
      </c>
      <c r="AS38" s="332">
        <f>('Gods UA2'!K38/Projektspecifikt!$B$8)*B38:B67</f>
        <v>0</v>
      </c>
      <c r="AT38" s="275">
        <f>(H38+(G38*'Kalkylvärden 1'!$G$9/60)+J38)*B38:B67</f>
        <v>0</v>
      </c>
      <c r="AU38" s="275" t="e">
        <f t="shared" si="2"/>
        <v>#DIV/0!</v>
      </c>
      <c r="AV38" s="275" t="e">
        <f>IF(AR38&lt;=0,AU38,((AR38*'Kalkylvärden 1'!$A$112)+(AS38*'Kalkylvärden 1'!$A$114)))</f>
        <v>#DIV/0!</v>
      </c>
      <c r="AW38" s="275">
        <f>(B38*(H38+J38+(G38*'Kalkylvärden 1'!$G$9/60)))*((N38/100*'Kalkylvärden 1'!$B$195)+(O38/100*'Kalkylvärden 1'!$B$196)+(P38/100*'Kalkylvärden 1'!$B$197)+(Q38/100*'Kalkylvärden 1'!$B$198)+(R38/100*'Kalkylvärden 1'!$B$199)+(S38/100*'Kalkylvärden 1'!$B$200)+('Gods UA2'!T38/100*'Kalkylvärden 1'!$B$201)+('Gods UA2'!U38/100*'Kalkylvärden 1'!$B$202)+('Gods UA2'!V38/100*'Kalkylvärden 1'!$B$203)+('Gods UA2'!W38/100*'Kalkylvärden 1'!$B$204)+('Gods UA2'!X38/100*'Kalkylvärden 1'!$B$205)+('Gods UA2'!Y38/100*'Kalkylvärden 1'!$B$206))</f>
        <v>0</v>
      </c>
      <c r="AX38" s="275">
        <f>IF(AR38&lt;=0,AW38,(B38*(K38)/Projektspecifikt!$B$8)*((N38/100*'Kalkylvärden 1'!$B$195)+('Gods UA2'!O38/100*'Kalkylvärden 1'!$B$196)+('Gods UA2'!P38/100*'Kalkylvärden 1'!$B$197)+('Gods UA2'!Q38/100*'Kalkylvärden 1'!$B$198)+('Gods UA2'!R38/100*'Kalkylvärden 1'!$B$199)+('Gods UA2'!S38/100*'Kalkylvärden 1'!$B$200)+('Gods UA2'!T38/100*'Kalkylvärden 1'!$B$201)+('Gods UA2'!U38/100*'Kalkylvärden 1'!$B$202)+('Gods UA2'!V38/100*'Kalkylvärden 1'!$B$203)+('Gods UA2'!W38/100*'Kalkylvärden 1'!$B$204)+('Gods UA2'!X38/100*'Kalkylvärden 1'!$B$205)+('Gods UA2'!Y38/100*'Kalkylvärden 1'!$B$206)))</f>
        <v>0</v>
      </c>
      <c r="AY38"/>
      <c r="BB38" s="144"/>
      <c r="BC38" s="144"/>
      <c r="BD38" s="275"/>
      <c r="BE38" s="275"/>
      <c r="BF38" s="275"/>
      <c r="BG38" s="275"/>
      <c r="BH38" s="203"/>
      <c r="BI38" s="275"/>
      <c r="BJ38" s="275"/>
      <c r="BK38" s="275"/>
      <c r="BL38" s="275"/>
      <c r="BM38" s="275"/>
      <c r="BN38" s="1"/>
      <c r="BQ38"/>
      <c r="BR38" s="1"/>
      <c r="BS38"/>
      <c r="BT38" s="1"/>
      <c r="BU38"/>
      <c r="BW38" s="275"/>
      <c r="BY38" s="1"/>
    </row>
    <row r="39" spans="1:77" x14ac:dyDescent="0.25">
      <c r="A39" s="231" t="s">
        <v>329</v>
      </c>
      <c r="B39" s="262"/>
      <c r="C39" s="262"/>
      <c r="D39" s="239" t="e">
        <f t="shared" si="3"/>
        <v>#DIV/0!</v>
      </c>
      <c r="E39" s="307"/>
      <c r="F39" s="307"/>
      <c r="G39" s="262"/>
      <c r="H39" s="307"/>
      <c r="I39" s="262"/>
      <c r="J39" s="262"/>
      <c r="K39" s="338"/>
      <c r="L39" s="59">
        <f>K39/Projektspecifikt!$B$8</f>
        <v>0</v>
      </c>
      <c r="M39" s="339"/>
      <c r="N39" s="262"/>
      <c r="O39" s="262"/>
      <c r="P39" s="262"/>
      <c r="Q39" s="262"/>
      <c r="R39" s="262"/>
      <c r="S39" s="262"/>
      <c r="T39" s="262"/>
      <c r="U39" s="262"/>
      <c r="V39" s="262"/>
      <c r="W39" s="262"/>
      <c r="X39" s="262"/>
      <c r="Y39" s="262"/>
      <c r="Z39" s="233" t="str">
        <f t="shared" si="4"/>
        <v>FEL</v>
      </c>
      <c r="AA39" s="261">
        <f>'Gods UA1'!Y33</f>
        <v>20</v>
      </c>
      <c r="AB39" s="261">
        <f>'Gods UA1'!Z33</f>
        <v>10</v>
      </c>
      <c r="AC39" s="261">
        <f>'Gods UA1'!AA33</f>
        <v>50</v>
      </c>
      <c r="AD39" s="261">
        <v>0</v>
      </c>
      <c r="AE39" s="275" t="e">
        <f>IF(AD39=0,(('Kalkylvärden 1'!$D$97+AA39*('Kalkylvärden 1'!$D$98*(1-'Gods UA2'!AC39/100)+'Kalkylvärden 1'!$D$99*'Gods UA2'!AC39/100)+AB39*('Kalkylvärden 1'!$D$100*(1-'Gods UA2'!AC39/100)+'Kalkylvärden 1'!$D$101*'Gods UA2'!AC39/100))*E39/(E39+F39)+('Kalkylvärden 1'!$E$97+AA39*('Kalkylvärden 1'!$E$98*(1-'Gods UA2'!AC39/100)+'Kalkylvärden 1'!$E$99*'Gods UA2'!AC39/100)+AB39*('Kalkylvärden 1'!$E$100*(1-'Gods UA2'!AC39/100)+'Kalkylvärden 1'!$E$101*'Gods UA2'!AC39/100))*F39/(E39+F39)),((AA39+AB39)/('Kalkylvärden 1'!$H$98+'Kalkylvärden 1'!$H$99)*'Kalkylvärden 1'!$G$102))</f>
        <v>#DIV/0!</v>
      </c>
      <c r="AF39" s="361">
        <f>IF(AD39=0,('Kalkylvärden 1'!$D$103+AA39*'Kalkylvärden 1'!$D$104+'Gods UA2'!AB39*'Kalkylvärden 1'!$D$105),((AA39+AB39)/('Kalkylvärden 1'!$H$98+'Kalkylvärden 1'!$H$99)*'Kalkylvärden 1'!$G$105))</f>
        <v>54.767843200000002</v>
      </c>
      <c r="AG39" s="275" t="e">
        <f t="shared" si="0"/>
        <v>#DIV/0!</v>
      </c>
      <c r="AH39" s="275" t="e">
        <f>(AF39*(H39+J39)*60*2)+(AF39*G39*'Kalkylvärden 1'!$G$9*2)+(J39*'Kalkylvärden 1'!$G$10*'Kalkylvärden 1'!$M$100)+(M39*'Kalkylvärden 1'!$D$11*B39/C39)</f>
        <v>#DIV/0!</v>
      </c>
      <c r="AI39" s="275" t="e">
        <f t="shared" si="5"/>
        <v>#DIV/0!</v>
      </c>
      <c r="AJ39" s="275" t="e">
        <f t="shared" si="1"/>
        <v>#DIV/0!</v>
      </c>
      <c r="AK39" s="275">
        <f>(-B39*(E39+F39)*2*'Kalkylvärden 1'!$A$184)</f>
        <v>0</v>
      </c>
      <c r="AL39" s="275">
        <f>(-B39*(E39+F39)*2*'Kalkylvärden 1'!$A$186)</f>
        <v>0</v>
      </c>
      <c r="AM39" s="275">
        <f>(-B39*F39*2*'Kalkylvärden 1'!$A$188)</f>
        <v>0</v>
      </c>
      <c r="AN39" s="336">
        <f>IF(K39&lt;=0,0,((B39*K39*2)/Projektspecifikt!$B$7*'Kalkylvärden 1'!$A$180))</f>
        <v>0</v>
      </c>
      <c r="AO39" s="336">
        <f>IF(AS39&lt;=0,0,(B39*K39*2)/Projektspecifikt!$B$7*'Kalkylvärden 1'!$A$182)</f>
        <v>0</v>
      </c>
      <c r="AP39" s="336">
        <f t="shared" si="6"/>
        <v>0</v>
      </c>
      <c r="AQ39" s="275">
        <f t="shared" si="7"/>
        <v>0</v>
      </c>
      <c r="AR39" s="275">
        <f t="shared" si="8"/>
        <v>0</v>
      </c>
      <c r="AS39" s="332">
        <f>('Gods UA2'!K39/Projektspecifikt!$B$8)*B39:B68</f>
        <v>0</v>
      </c>
      <c r="AT39" s="275">
        <f>(H39+(G39*'Kalkylvärden 1'!$G$9/60)+J39)*B39:B68</f>
        <v>0</v>
      </c>
      <c r="AU39" s="275" t="e">
        <f t="shared" si="2"/>
        <v>#DIV/0!</v>
      </c>
      <c r="AV39" s="275" t="e">
        <f>IF(AR39&lt;=0,AU39,((AR39*'Kalkylvärden 1'!$A$112)+(AS39*'Kalkylvärden 1'!$A$114)))</f>
        <v>#DIV/0!</v>
      </c>
      <c r="AW39" s="275">
        <f>(B39*(H39+J39+(G39*'Kalkylvärden 1'!$G$9/60)))*((N39/100*'Kalkylvärden 1'!$B$195)+(O39/100*'Kalkylvärden 1'!$B$196)+(P39/100*'Kalkylvärden 1'!$B$197)+(Q39/100*'Kalkylvärden 1'!$B$198)+(R39/100*'Kalkylvärden 1'!$B$199)+(S39/100*'Kalkylvärden 1'!$B$200)+('Gods UA2'!T39/100*'Kalkylvärden 1'!$B$201)+('Gods UA2'!U39/100*'Kalkylvärden 1'!$B$202)+('Gods UA2'!V39/100*'Kalkylvärden 1'!$B$203)+('Gods UA2'!W39/100*'Kalkylvärden 1'!$B$204)+('Gods UA2'!X39/100*'Kalkylvärden 1'!$B$205)+('Gods UA2'!Y39/100*'Kalkylvärden 1'!$B$206))</f>
        <v>0</v>
      </c>
      <c r="AX39" s="275">
        <f>IF(AR39&lt;=0,AW39,(B39*(K39)/Projektspecifikt!$B$8)*((N39/100*'Kalkylvärden 1'!$B$195)+('Gods UA2'!O39/100*'Kalkylvärden 1'!$B$196)+('Gods UA2'!P39/100*'Kalkylvärden 1'!$B$197)+('Gods UA2'!Q39/100*'Kalkylvärden 1'!$B$198)+('Gods UA2'!R39/100*'Kalkylvärden 1'!$B$199)+('Gods UA2'!S39/100*'Kalkylvärden 1'!$B$200)+('Gods UA2'!T39/100*'Kalkylvärden 1'!$B$201)+('Gods UA2'!U39/100*'Kalkylvärden 1'!$B$202)+('Gods UA2'!V39/100*'Kalkylvärden 1'!$B$203)+('Gods UA2'!W39/100*'Kalkylvärden 1'!$B$204)+('Gods UA2'!X39/100*'Kalkylvärden 1'!$B$205)+('Gods UA2'!Y39/100*'Kalkylvärden 1'!$B$206)))</f>
        <v>0</v>
      </c>
      <c r="AY39"/>
      <c r="BB39" s="144"/>
      <c r="BC39" s="144"/>
      <c r="BD39" s="275"/>
      <c r="BE39" s="275"/>
      <c r="BF39" s="275"/>
      <c r="BG39" s="275"/>
      <c r="BH39" s="203"/>
      <c r="BI39" s="275"/>
      <c r="BJ39" s="275"/>
      <c r="BK39" s="275"/>
      <c r="BL39" s="275"/>
      <c r="BM39" s="275"/>
      <c r="BN39" s="1"/>
      <c r="BQ39"/>
      <c r="BR39" s="1"/>
      <c r="BS39"/>
      <c r="BT39" s="1"/>
      <c r="BU39"/>
      <c r="BW39" s="275"/>
      <c r="BY39" s="1"/>
    </row>
    <row r="40" spans="1:77" x14ac:dyDescent="0.25">
      <c r="A40" s="231" t="s">
        <v>329</v>
      </c>
      <c r="B40" s="262"/>
      <c r="C40" s="262"/>
      <c r="D40" s="239" t="e">
        <f t="shared" si="3"/>
        <v>#DIV/0!</v>
      </c>
      <c r="E40" s="307"/>
      <c r="F40" s="307"/>
      <c r="G40" s="262"/>
      <c r="H40" s="307"/>
      <c r="I40" s="262"/>
      <c r="J40" s="262"/>
      <c r="K40" s="338"/>
      <c r="L40" s="59">
        <f>K40/Projektspecifikt!$B$8</f>
        <v>0</v>
      </c>
      <c r="M40" s="339"/>
      <c r="N40" s="262"/>
      <c r="O40" s="262"/>
      <c r="P40" s="262"/>
      <c r="Q40" s="262"/>
      <c r="R40" s="262"/>
      <c r="S40" s="262"/>
      <c r="T40" s="262"/>
      <c r="U40" s="262"/>
      <c r="V40" s="262"/>
      <c r="W40" s="262"/>
      <c r="X40" s="262"/>
      <c r="Y40" s="262"/>
      <c r="Z40" s="233" t="str">
        <f t="shared" si="4"/>
        <v>FEL</v>
      </c>
      <c r="AA40" s="261">
        <f>'Gods UA1'!Y34</f>
        <v>20</v>
      </c>
      <c r="AB40" s="261">
        <f>'Gods UA1'!Z34</f>
        <v>10</v>
      </c>
      <c r="AC40" s="261">
        <f>'Gods UA1'!AA34</f>
        <v>50</v>
      </c>
      <c r="AD40" s="261">
        <v>0</v>
      </c>
      <c r="AE40" s="275" t="e">
        <f>IF(AD40=0,(('Kalkylvärden 1'!$D$97+AA40*('Kalkylvärden 1'!$D$98*(1-'Gods UA2'!AC40/100)+'Kalkylvärden 1'!$D$99*'Gods UA2'!AC40/100)+AB40*('Kalkylvärden 1'!$D$100*(1-'Gods UA2'!AC40/100)+'Kalkylvärden 1'!$D$101*'Gods UA2'!AC40/100))*E40/(E40+F40)+('Kalkylvärden 1'!$E$97+AA40*('Kalkylvärden 1'!$E$98*(1-'Gods UA2'!AC40/100)+'Kalkylvärden 1'!$E$99*'Gods UA2'!AC40/100)+AB40*('Kalkylvärden 1'!$E$100*(1-'Gods UA2'!AC40/100)+'Kalkylvärden 1'!$E$101*'Gods UA2'!AC40/100))*F40/(E40+F40)),((AA40+AB40)/('Kalkylvärden 1'!$H$98+'Kalkylvärden 1'!$H$99)*'Kalkylvärden 1'!$G$102))</f>
        <v>#DIV/0!</v>
      </c>
      <c r="AF40" s="361">
        <f>IF(AD40=0,('Kalkylvärden 1'!$D$103+AA40*'Kalkylvärden 1'!$D$104+'Gods UA2'!AB40*'Kalkylvärden 1'!$D$105),((AA40+AB40)/('Kalkylvärden 1'!$H$98+'Kalkylvärden 1'!$H$99)*'Kalkylvärden 1'!$G$105))</f>
        <v>54.767843200000002</v>
      </c>
      <c r="AG40" s="275" t="e">
        <f t="shared" si="0"/>
        <v>#DIV/0!</v>
      </c>
      <c r="AH40" s="275" t="e">
        <f>(AF40*(H40+J40)*60*2)+(AF40*G40*'Kalkylvärden 1'!$G$9*2)+(J40*'Kalkylvärden 1'!$G$10*'Kalkylvärden 1'!$M$100)+(M40*'Kalkylvärden 1'!$D$11*B40/C40)</f>
        <v>#DIV/0!</v>
      </c>
      <c r="AI40" s="275" t="e">
        <f t="shared" si="5"/>
        <v>#DIV/0!</v>
      </c>
      <c r="AJ40" s="275" t="e">
        <f t="shared" si="1"/>
        <v>#DIV/0!</v>
      </c>
      <c r="AK40" s="275">
        <f>(-B40*(E40+F40)*2*'Kalkylvärden 1'!$A$184)</f>
        <v>0</v>
      </c>
      <c r="AL40" s="275">
        <f>(-B40*(E40+F40)*2*'Kalkylvärden 1'!$A$186)</f>
        <v>0</v>
      </c>
      <c r="AM40" s="275">
        <f>(-B40*F40*2*'Kalkylvärden 1'!$A$188)</f>
        <v>0</v>
      </c>
      <c r="AN40" s="336">
        <f>IF(K40&lt;=0,0,((B40*K40*2)/Projektspecifikt!$B$7*'Kalkylvärden 1'!$A$180))</f>
        <v>0</v>
      </c>
      <c r="AO40" s="336">
        <f>IF(AS40&lt;=0,0,(B40*K40*2)/Projektspecifikt!$B$7*'Kalkylvärden 1'!$A$182)</f>
        <v>0</v>
      </c>
      <c r="AP40" s="336">
        <f t="shared" si="6"/>
        <v>0</v>
      </c>
      <c r="AQ40" s="275">
        <f t="shared" si="7"/>
        <v>0</v>
      </c>
      <c r="AR40" s="275">
        <f t="shared" si="8"/>
        <v>0</v>
      </c>
      <c r="AS40" s="332">
        <f>('Gods UA2'!K40/Projektspecifikt!$B$8)*B40:B69</f>
        <v>0</v>
      </c>
      <c r="AT40" s="275">
        <f>(H40+(G40*'Kalkylvärden 1'!$G$9/60)+J40)*B40:B69</f>
        <v>0</v>
      </c>
      <c r="AU40" s="275" t="e">
        <f t="shared" si="2"/>
        <v>#DIV/0!</v>
      </c>
      <c r="AV40" s="275" t="e">
        <f>IF(AR40&lt;=0,AU40,((AR40*'Kalkylvärden 1'!$A$112)+(AS40*'Kalkylvärden 1'!$A$114)))</f>
        <v>#DIV/0!</v>
      </c>
      <c r="AW40" s="275">
        <f>(B40*(H40+J40+(G40*'Kalkylvärden 1'!$G$9/60)))*((N40/100*'Kalkylvärden 1'!$B$195)+(O40/100*'Kalkylvärden 1'!$B$196)+(P40/100*'Kalkylvärden 1'!$B$197)+(Q40/100*'Kalkylvärden 1'!$B$198)+(R40/100*'Kalkylvärden 1'!$B$199)+(S40/100*'Kalkylvärden 1'!$B$200)+('Gods UA2'!T40/100*'Kalkylvärden 1'!$B$201)+('Gods UA2'!U40/100*'Kalkylvärden 1'!$B$202)+('Gods UA2'!V40/100*'Kalkylvärden 1'!$B$203)+('Gods UA2'!W40/100*'Kalkylvärden 1'!$B$204)+('Gods UA2'!X40/100*'Kalkylvärden 1'!$B$205)+('Gods UA2'!Y40/100*'Kalkylvärden 1'!$B$206))</f>
        <v>0</v>
      </c>
      <c r="AX40" s="275">
        <f>IF(AR40&lt;=0,AW40,(B40*(K40)/Projektspecifikt!$B$8)*((N40/100*'Kalkylvärden 1'!$B$195)+('Gods UA2'!O40/100*'Kalkylvärden 1'!$B$196)+('Gods UA2'!P40/100*'Kalkylvärden 1'!$B$197)+('Gods UA2'!Q40/100*'Kalkylvärden 1'!$B$198)+('Gods UA2'!R40/100*'Kalkylvärden 1'!$B$199)+('Gods UA2'!S40/100*'Kalkylvärden 1'!$B$200)+('Gods UA2'!T40/100*'Kalkylvärden 1'!$B$201)+('Gods UA2'!U40/100*'Kalkylvärden 1'!$B$202)+('Gods UA2'!V40/100*'Kalkylvärden 1'!$B$203)+('Gods UA2'!W40/100*'Kalkylvärden 1'!$B$204)+('Gods UA2'!X40/100*'Kalkylvärden 1'!$B$205)+('Gods UA2'!Y40/100*'Kalkylvärden 1'!$B$206)))</f>
        <v>0</v>
      </c>
      <c r="AY40"/>
      <c r="BB40" s="144"/>
      <c r="BC40" s="144"/>
      <c r="BD40" s="275"/>
      <c r="BE40" s="275"/>
      <c r="BF40" s="275"/>
      <c r="BG40" s="275"/>
      <c r="BH40" s="203"/>
      <c r="BI40" s="275"/>
      <c r="BJ40" s="275"/>
      <c r="BK40" s="275"/>
      <c r="BL40" s="275"/>
      <c r="BM40" s="275"/>
      <c r="BN40" s="1"/>
      <c r="BQ40"/>
      <c r="BR40" s="1"/>
      <c r="BS40"/>
      <c r="BT40" s="1"/>
      <c r="BU40"/>
      <c r="BW40" s="275"/>
      <c r="BY40" s="1"/>
    </row>
    <row r="41" spans="1:77" x14ac:dyDescent="0.25">
      <c r="A41" s="231" t="s">
        <v>329</v>
      </c>
      <c r="B41" s="262"/>
      <c r="C41" s="262"/>
      <c r="D41" s="239" t="e">
        <f t="shared" si="3"/>
        <v>#DIV/0!</v>
      </c>
      <c r="E41" s="307"/>
      <c r="F41" s="307"/>
      <c r="G41" s="262"/>
      <c r="H41" s="307"/>
      <c r="I41" s="262"/>
      <c r="J41" s="262"/>
      <c r="K41" s="338"/>
      <c r="L41" s="59">
        <f>K41/Projektspecifikt!$B$8</f>
        <v>0</v>
      </c>
      <c r="M41" s="339"/>
      <c r="N41" s="262"/>
      <c r="O41" s="262"/>
      <c r="P41" s="262"/>
      <c r="Q41" s="262"/>
      <c r="R41" s="262"/>
      <c r="S41" s="262"/>
      <c r="T41" s="262"/>
      <c r="U41" s="262"/>
      <c r="V41" s="262"/>
      <c r="W41" s="262"/>
      <c r="X41" s="262"/>
      <c r="Y41" s="262"/>
      <c r="Z41" s="233" t="str">
        <f t="shared" si="4"/>
        <v>FEL</v>
      </c>
      <c r="AA41" s="261">
        <f>'Gods UA1'!Y35</f>
        <v>20</v>
      </c>
      <c r="AB41" s="261">
        <f>'Gods UA1'!Z35</f>
        <v>10</v>
      </c>
      <c r="AC41" s="261">
        <f>'Gods UA1'!AA35</f>
        <v>50</v>
      </c>
      <c r="AD41" s="261">
        <v>0</v>
      </c>
      <c r="AE41" s="275" t="e">
        <f>IF(AD41=0,(('Kalkylvärden 1'!$D$97+AA41*('Kalkylvärden 1'!$D$98*(1-'Gods UA2'!AC41/100)+'Kalkylvärden 1'!$D$99*'Gods UA2'!AC41/100)+AB41*('Kalkylvärden 1'!$D$100*(1-'Gods UA2'!AC41/100)+'Kalkylvärden 1'!$D$101*'Gods UA2'!AC41/100))*E41/(E41+F41)+('Kalkylvärden 1'!$E$97+AA41*('Kalkylvärden 1'!$E$98*(1-'Gods UA2'!AC41/100)+'Kalkylvärden 1'!$E$99*'Gods UA2'!AC41/100)+AB41*('Kalkylvärden 1'!$E$100*(1-'Gods UA2'!AC41/100)+'Kalkylvärden 1'!$E$101*'Gods UA2'!AC41/100))*F41/(E41+F41)),((AA41+AB41)/('Kalkylvärden 1'!$H$98+'Kalkylvärden 1'!$H$99)*'Kalkylvärden 1'!$G$102))</f>
        <v>#DIV/0!</v>
      </c>
      <c r="AF41" s="361">
        <f>IF(AD41=0,('Kalkylvärden 1'!$D$103+AA41*'Kalkylvärden 1'!$D$104+'Gods UA2'!AB41*'Kalkylvärden 1'!$D$105),((AA41+AB41)/('Kalkylvärden 1'!$H$98+'Kalkylvärden 1'!$H$99)*'Kalkylvärden 1'!$G$105))</f>
        <v>54.767843200000002</v>
      </c>
      <c r="AG41" s="275" t="e">
        <f t="shared" si="0"/>
        <v>#DIV/0!</v>
      </c>
      <c r="AH41" s="275" t="e">
        <f>(AF41*(H41+J41)*60*2)+(AF41*G41*'Kalkylvärden 1'!$G$9*2)+(J41*'Kalkylvärden 1'!$G$10*'Kalkylvärden 1'!$M$100)+(M41*'Kalkylvärden 1'!$D$11*B41/C41)</f>
        <v>#DIV/0!</v>
      </c>
      <c r="AI41" s="275" t="e">
        <f t="shared" si="5"/>
        <v>#DIV/0!</v>
      </c>
      <c r="AJ41" s="275" t="e">
        <f t="shared" si="1"/>
        <v>#DIV/0!</v>
      </c>
      <c r="AK41" s="275">
        <f>(-B41*(E41+F41)*2*'Kalkylvärden 1'!$A$184)</f>
        <v>0</v>
      </c>
      <c r="AL41" s="275">
        <f>(-B41*(E41+F41)*2*'Kalkylvärden 1'!$A$186)</f>
        <v>0</v>
      </c>
      <c r="AM41" s="275">
        <f>(-B41*F41*2*'Kalkylvärden 1'!$A$188)</f>
        <v>0</v>
      </c>
      <c r="AN41" s="336">
        <f>IF(K41&lt;=0,0,((B41*K41*2)/Projektspecifikt!$B$7*'Kalkylvärden 1'!$A$180))</f>
        <v>0</v>
      </c>
      <c r="AO41" s="336">
        <f>IF(AS41&lt;=0,0,(B41*K41*2)/Projektspecifikt!$B$7*'Kalkylvärden 1'!$A$182)</f>
        <v>0</v>
      </c>
      <c r="AP41" s="336">
        <f t="shared" si="6"/>
        <v>0</v>
      </c>
      <c r="AQ41" s="275">
        <f t="shared" si="7"/>
        <v>0</v>
      </c>
      <c r="AR41" s="275">
        <f t="shared" si="8"/>
        <v>0</v>
      </c>
      <c r="AS41" s="332">
        <f>('Gods UA2'!K41/Projektspecifikt!$B$8)*B41:B70</f>
        <v>0</v>
      </c>
      <c r="AT41" s="275">
        <f>(H41+(G41*'Kalkylvärden 1'!$G$9/60)+J41)*B41:B70</f>
        <v>0</v>
      </c>
      <c r="AU41" s="275" t="e">
        <f t="shared" si="2"/>
        <v>#DIV/0!</v>
      </c>
      <c r="AV41" s="275" t="e">
        <f>IF(AR41&lt;=0,AU41,((AR41*'Kalkylvärden 1'!$A$112)+(AS41*'Kalkylvärden 1'!$A$114)))</f>
        <v>#DIV/0!</v>
      </c>
      <c r="AW41" s="275">
        <f>(B41*(H41+J41+(G41*'Kalkylvärden 1'!$G$9/60)))*((N41/100*'Kalkylvärden 1'!$B$195)+(O41/100*'Kalkylvärden 1'!$B$196)+(P41/100*'Kalkylvärden 1'!$B$197)+(Q41/100*'Kalkylvärden 1'!$B$198)+(R41/100*'Kalkylvärden 1'!$B$199)+(S41/100*'Kalkylvärden 1'!$B$200)+('Gods UA2'!T41/100*'Kalkylvärden 1'!$B$201)+('Gods UA2'!U41/100*'Kalkylvärden 1'!$B$202)+('Gods UA2'!V41/100*'Kalkylvärden 1'!$B$203)+('Gods UA2'!W41/100*'Kalkylvärden 1'!$B$204)+('Gods UA2'!X41/100*'Kalkylvärden 1'!$B$205)+('Gods UA2'!Y41/100*'Kalkylvärden 1'!$B$206))</f>
        <v>0</v>
      </c>
      <c r="AX41" s="275">
        <f>IF(AR41&lt;=0,AW41,(B41*(K41)/Projektspecifikt!$B$8)*((N41/100*'Kalkylvärden 1'!$B$195)+('Gods UA2'!O41/100*'Kalkylvärden 1'!$B$196)+('Gods UA2'!P41/100*'Kalkylvärden 1'!$B$197)+('Gods UA2'!Q41/100*'Kalkylvärden 1'!$B$198)+('Gods UA2'!R41/100*'Kalkylvärden 1'!$B$199)+('Gods UA2'!S41/100*'Kalkylvärden 1'!$B$200)+('Gods UA2'!T41/100*'Kalkylvärden 1'!$B$201)+('Gods UA2'!U41/100*'Kalkylvärden 1'!$B$202)+('Gods UA2'!V41/100*'Kalkylvärden 1'!$B$203)+('Gods UA2'!W41/100*'Kalkylvärden 1'!$B$204)+('Gods UA2'!X41/100*'Kalkylvärden 1'!$B$205)+('Gods UA2'!Y41/100*'Kalkylvärden 1'!$B$206)))</f>
        <v>0</v>
      </c>
      <c r="AY41"/>
      <c r="BB41" s="144"/>
      <c r="BC41" s="144"/>
      <c r="BD41" s="275"/>
      <c r="BE41" s="275"/>
      <c r="BF41" s="275"/>
      <c r="BG41" s="275"/>
      <c r="BH41" s="203"/>
      <c r="BI41" s="275"/>
      <c r="BJ41" s="275"/>
      <c r="BK41" s="275"/>
      <c r="BL41" s="275"/>
      <c r="BM41" s="275"/>
      <c r="BN41" s="1"/>
      <c r="BQ41"/>
      <c r="BR41" s="1"/>
      <c r="BS41"/>
      <c r="BT41" s="1"/>
      <c r="BU41"/>
      <c r="BW41" s="275"/>
      <c r="BY41" s="1"/>
    </row>
    <row r="42" spans="1:77" x14ac:dyDescent="0.25">
      <c r="C42" s="203"/>
      <c r="D42" s="203"/>
      <c r="I42" s="203"/>
      <c r="J42" s="203"/>
      <c r="K42" s="203"/>
      <c r="L42" s="203"/>
      <c r="M42" s="203"/>
      <c r="N42" s="275"/>
      <c r="O42" s="275"/>
      <c r="P42" s="275"/>
      <c r="Q42" s="275"/>
      <c r="R42" s="275"/>
      <c r="S42" s="275"/>
      <c r="T42" s="275"/>
      <c r="U42" s="275"/>
      <c r="V42" s="275"/>
      <c r="W42" s="275"/>
      <c r="X42" s="275"/>
      <c r="Y42" s="275"/>
      <c r="AB42" s="1"/>
      <c r="AC42" s="1"/>
      <c r="AE42"/>
      <c r="AF42"/>
      <c r="AG42"/>
      <c r="AI42" s="275">
        <f t="shared" ref="AI42:AX42" si="9">SUMIF(AI12:AI41,"&lt;&gt;#DIVISION/0!")</f>
        <v>28414.683763200002</v>
      </c>
      <c r="AJ42" s="286">
        <f t="shared" si="9"/>
        <v>2841468.3763200003</v>
      </c>
      <c r="AK42" s="287">
        <f t="shared" si="9"/>
        <v>140000</v>
      </c>
      <c r="AL42" s="287">
        <f t="shared" si="9"/>
        <v>10363.731796676813</v>
      </c>
      <c r="AM42" s="287">
        <f t="shared" si="9"/>
        <v>932616.71696986747</v>
      </c>
      <c r="AN42" s="287">
        <f t="shared" si="9"/>
        <v>-1342501.5090960232</v>
      </c>
      <c r="AO42" s="287">
        <f t="shared" si="9"/>
        <v>-1086666.6666666667</v>
      </c>
      <c r="AP42" s="287">
        <f t="shared" si="9"/>
        <v>-259521.06032947893</v>
      </c>
      <c r="AQ42" s="275">
        <f t="shared" si="9"/>
        <v>2000000</v>
      </c>
      <c r="AR42" s="275">
        <f t="shared" si="9"/>
        <v>2400000</v>
      </c>
      <c r="AS42" s="275">
        <f t="shared" si="9"/>
        <v>36923.076923076922</v>
      </c>
      <c r="AT42" s="275">
        <f t="shared" si="9"/>
        <v>36000</v>
      </c>
      <c r="AU42" s="288">
        <f t="shared" si="9"/>
        <v>2841468.3763200003</v>
      </c>
      <c r="AV42" s="288">
        <f t="shared" si="9"/>
        <v>1426813.3381485497</v>
      </c>
      <c r="AW42" s="288">
        <f t="shared" si="9"/>
        <v>2526.48</v>
      </c>
      <c r="AX42" s="288">
        <f t="shared" si="9"/>
        <v>2591.2615384615387</v>
      </c>
      <c r="AY42"/>
      <c r="BD42" s="275"/>
      <c r="BM42" s="289"/>
      <c r="BN42" s="1"/>
      <c r="BQ42"/>
      <c r="BR42" s="1"/>
      <c r="BS42"/>
      <c r="BT42" s="1"/>
      <c r="BU42"/>
      <c r="BW42" s="275"/>
      <c r="BY42" s="1"/>
    </row>
    <row r="43" spans="1:77" x14ac:dyDescent="0.25">
      <c r="B43" s="275"/>
      <c r="C43" s="3"/>
      <c r="K43"/>
      <c r="L43"/>
      <c r="M43"/>
      <c r="N43"/>
      <c r="O43"/>
      <c r="P43"/>
      <c r="Q43"/>
      <c r="R43"/>
      <c r="S43"/>
      <c r="T43"/>
      <c r="U43"/>
      <c r="V43"/>
      <c r="W43"/>
      <c r="X43"/>
      <c r="Y43"/>
      <c r="Z43"/>
      <c r="AE43"/>
      <c r="AF43"/>
      <c r="AG43"/>
      <c r="AL43"/>
      <c r="AM43"/>
      <c r="AN43"/>
      <c r="AW43"/>
      <c r="AY43"/>
      <c r="AZ43"/>
      <c r="BA43"/>
      <c r="BB43"/>
      <c r="BC43"/>
      <c r="BD43"/>
      <c r="BE43"/>
      <c r="BF43"/>
      <c r="BG43"/>
      <c r="BH43"/>
      <c r="BI43"/>
      <c r="BJ43"/>
      <c r="BK43"/>
      <c r="BL43"/>
      <c r="BM43"/>
      <c r="BQ43"/>
      <c r="BS43"/>
    </row>
    <row r="44" spans="1:77" ht="20.25" x14ac:dyDescent="0.3">
      <c r="A44" s="169" t="s">
        <v>332</v>
      </c>
      <c r="K44"/>
      <c r="L44"/>
      <c r="M44"/>
      <c r="N44"/>
      <c r="O44"/>
      <c r="P44"/>
      <c r="Q44"/>
      <c r="R44"/>
      <c r="S44"/>
      <c r="T44"/>
      <c r="U44"/>
      <c r="V44"/>
      <c r="W44"/>
      <c r="X44"/>
      <c r="Y44"/>
      <c r="Z44"/>
      <c r="AE44"/>
      <c r="AF44"/>
      <c r="AG44"/>
      <c r="AL44"/>
      <c r="AM44"/>
      <c r="AN44"/>
      <c r="AW44"/>
      <c r="AY44"/>
      <c r="AZ44"/>
      <c r="BA44"/>
      <c r="BB44"/>
      <c r="BC44"/>
      <c r="BD44"/>
      <c r="BE44"/>
      <c r="BF44"/>
      <c r="BG44"/>
      <c r="BH44"/>
      <c r="BI44"/>
      <c r="BJ44"/>
      <c r="BK44"/>
      <c r="BL44"/>
      <c r="BM44"/>
      <c r="BQ44"/>
      <c r="BS44"/>
    </row>
    <row r="45" spans="1:77" x14ac:dyDescent="0.25">
      <c r="K45"/>
      <c r="L45"/>
      <c r="M45"/>
      <c r="N45"/>
      <c r="O45"/>
      <c r="P45"/>
      <c r="Q45"/>
      <c r="R45"/>
      <c r="S45"/>
      <c r="T45"/>
      <c r="U45"/>
      <c r="V45"/>
      <c r="W45"/>
      <c r="X45"/>
      <c r="Y45"/>
      <c r="Z45"/>
      <c r="AE45"/>
      <c r="AF45"/>
      <c r="AG45"/>
      <c r="AL45"/>
      <c r="AM45"/>
      <c r="AN45"/>
      <c r="AW45"/>
      <c r="AY45"/>
      <c r="AZ45"/>
      <c r="BA45"/>
      <c r="BB45"/>
      <c r="BC45"/>
      <c r="BD45"/>
      <c r="BE45"/>
      <c r="BF45"/>
      <c r="BG45"/>
      <c r="BH45"/>
      <c r="BI45"/>
      <c r="BJ45"/>
      <c r="BK45"/>
      <c r="BL45"/>
      <c r="BM45"/>
      <c r="BQ45"/>
      <c r="BS45"/>
    </row>
    <row r="46" spans="1:77" ht="15.75" x14ac:dyDescent="0.25">
      <c r="A46" s="171" t="s">
        <v>510</v>
      </c>
      <c r="D46"/>
      <c r="H46"/>
      <c r="I46"/>
      <c r="J46"/>
      <c r="K46"/>
      <c r="L46"/>
      <c r="M46"/>
      <c r="N46"/>
      <c r="O46"/>
      <c r="P46"/>
      <c r="Q46"/>
      <c r="R46"/>
      <c r="S46"/>
      <c r="T46"/>
      <c r="U46"/>
      <c r="V46"/>
      <c r="W46"/>
      <c r="X46"/>
      <c r="Y46"/>
      <c r="Z46"/>
      <c r="AE46"/>
      <c r="AF46"/>
      <c r="AG46"/>
      <c r="AL46"/>
      <c r="AM46"/>
      <c r="AN46"/>
      <c r="AW46"/>
      <c r="AY46"/>
      <c r="AZ46"/>
      <c r="BA46"/>
      <c r="BB46"/>
      <c r="BC46"/>
      <c r="BD46"/>
      <c r="BE46"/>
      <c r="BF46"/>
      <c r="BG46"/>
      <c r="BH46"/>
      <c r="BI46"/>
      <c r="BJ46"/>
      <c r="BK46"/>
      <c r="BL46"/>
      <c r="BM46"/>
      <c r="BQ46"/>
      <c r="BS46"/>
    </row>
    <row r="47" spans="1:77" x14ac:dyDescent="0.25">
      <c r="A47" t="s">
        <v>588</v>
      </c>
      <c r="B47" s="275">
        <f>AU42</f>
        <v>2841468.3763200003</v>
      </c>
      <c r="C47" s="276" t="s">
        <v>618</v>
      </c>
      <c r="D47"/>
      <c r="H47"/>
      <c r="I47"/>
      <c r="J47"/>
      <c r="K47"/>
      <c r="L47"/>
      <c r="M47"/>
      <c r="N47"/>
      <c r="O47"/>
      <c r="P47"/>
      <c r="Q47"/>
      <c r="R47"/>
      <c r="S47"/>
      <c r="T47"/>
      <c r="U47"/>
      <c r="V47"/>
      <c r="W47"/>
      <c r="X47"/>
      <c r="Y47"/>
      <c r="Z47"/>
      <c r="AE47"/>
      <c r="AF47"/>
      <c r="AG47"/>
      <c r="AL47"/>
      <c r="AM47"/>
      <c r="AN47"/>
      <c r="AW47"/>
      <c r="AY47"/>
      <c r="AZ47"/>
      <c r="BA47"/>
      <c r="BB47"/>
      <c r="BC47"/>
      <c r="BD47"/>
      <c r="BE47"/>
      <c r="BF47"/>
      <c r="BG47"/>
      <c r="BH47"/>
      <c r="BI47"/>
      <c r="BJ47"/>
      <c r="BK47"/>
      <c r="BL47"/>
      <c r="BM47"/>
      <c r="BQ47"/>
      <c r="BS47"/>
    </row>
    <row r="48" spans="1:77" x14ac:dyDescent="0.25">
      <c r="A48" t="s">
        <v>198</v>
      </c>
      <c r="B48" s="275">
        <f>AV42</f>
        <v>1426813.3381485497</v>
      </c>
      <c r="C48" s="276" t="s">
        <v>619</v>
      </c>
      <c r="D48"/>
      <c r="H48"/>
      <c r="I48"/>
      <c r="J48"/>
      <c r="K48"/>
      <c r="L48"/>
      <c r="M48"/>
      <c r="N48"/>
      <c r="O48"/>
      <c r="P48"/>
      <c r="Q48"/>
      <c r="R48"/>
      <c r="S48"/>
      <c r="T48"/>
      <c r="U48"/>
      <c r="V48"/>
      <c r="W48"/>
      <c r="X48"/>
      <c r="Y48"/>
      <c r="Z48"/>
      <c r="AE48"/>
      <c r="AF48"/>
      <c r="AG48"/>
      <c r="AL48"/>
      <c r="AM48"/>
      <c r="AN48"/>
      <c r="AW48"/>
      <c r="AY48"/>
      <c r="AZ48"/>
      <c r="BA48"/>
      <c r="BB48"/>
      <c r="BC48"/>
      <c r="BD48"/>
      <c r="BE48"/>
      <c r="BF48"/>
      <c r="BG48"/>
      <c r="BH48"/>
      <c r="BI48"/>
      <c r="BJ48"/>
      <c r="BK48"/>
      <c r="BL48"/>
      <c r="BM48"/>
      <c r="BQ48"/>
      <c r="BS48"/>
    </row>
    <row r="49" spans="1:71" x14ac:dyDescent="0.25">
      <c r="A49" s="199" t="s">
        <v>334</v>
      </c>
      <c r="B49" s="287">
        <f>B47-B48</f>
        <v>1414655.0381714506</v>
      </c>
      <c r="C49" s="178" t="s">
        <v>328</v>
      </c>
      <c r="D49" t="s">
        <v>620</v>
      </c>
      <c r="E49"/>
      <c r="H49"/>
      <c r="I49"/>
      <c r="J49"/>
      <c r="K49"/>
      <c r="L49"/>
      <c r="M49"/>
      <c r="N49"/>
      <c r="O49"/>
      <c r="P49"/>
      <c r="Q49"/>
      <c r="R49"/>
      <c r="S49"/>
      <c r="T49"/>
      <c r="U49"/>
      <c r="V49"/>
      <c r="W49"/>
      <c r="X49"/>
      <c r="Y49"/>
      <c r="Z49"/>
      <c r="AE49"/>
      <c r="AF49"/>
      <c r="AG49"/>
      <c r="AL49"/>
      <c r="AM49"/>
      <c r="AN49"/>
      <c r="AW49"/>
      <c r="AY49"/>
      <c r="AZ49"/>
      <c r="BA49"/>
      <c r="BB49"/>
      <c r="BC49"/>
      <c r="BD49"/>
      <c r="BE49"/>
      <c r="BF49"/>
      <c r="BG49"/>
      <c r="BH49"/>
      <c r="BI49"/>
      <c r="BJ49"/>
      <c r="BK49"/>
      <c r="BL49"/>
      <c r="BM49"/>
      <c r="BQ49"/>
      <c r="BS49"/>
    </row>
    <row r="50" spans="1:71" x14ac:dyDescent="0.25">
      <c r="A50" s="192"/>
      <c r="B50" s="63"/>
      <c r="C50" s="3"/>
      <c r="D50"/>
      <c r="E50"/>
      <c r="H50"/>
      <c r="I50"/>
      <c r="J50"/>
      <c r="K50"/>
      <c r="L50"/>
      <c r="M50"/>
      <c r="N50"/>
      <c r="O50"/>
      <c r="P50"/>
      <c r="Q50"/>
      <c r="R50"/>
      <c r="S50"/>
      <c r="T50"/>
      <c r="U50"/>
      <c r="V50"/>
      <c r="W50"/>
      <c r="X50"/>
      <c r="Y50"/>
      <c r="Z50"/>
      <c r="AE50"/>
      <c r="AF50"/>
      <c r="AG50"/>
      <c r="AL50"/>
      <c r="AM50"/>
      <c r="AN50"/>
      <c r="AW50"/>
      <c r="AY50"/>
      <c r="AZ50"/>
      <c r="BA50"/>
      <c r="BB50"/>
      <c r="BC50"/>
      <c r="BD50"/>
      <c r="BE50"/>
      <c r="BF50"/>
      <c r="BG50"/>
      <c r="BH50"/>
      <c r="BI50"/>
      <c r="BJ50"/>
      <c r="BK50"/>
      <c r="BL50"/>
      <c r="BM50"/>
      <c r="BQ50"/>
      <c r="BS50"/>
    </row>
    <row r="51" spans="1:71" ht="15.75" x14ac:dyDescent="0.25">
      <c r="A51" s="171" t="s">
        <v>589</v>
      </c>
      <c r="B51" s="63"/>
      <c r="C51" s="3"/>
      <c r="D51"/>
      <c r="E51"/>
      <c r="H51"/>
      <c r="I51"/>
      <c r="J51"/>
      <c r="K51"/>
      <c r="L51"/>
      <c r="M51"/>
      <c r="N51"/>
      <c r="O51"/>
      <c r="P51"/>
      <c r="Q51"/>
      <c r="R51"/>
      <c r="S51"/>
      <c r="T51"/>
      <c r="U51"/>
      <c r="V51"/>
      <c r="W51"/>
      <c r="X51"/>
      <c r="Y51"/>
      <c r="Z51"/>
      <c r="AE51"/>
      <c r="AF51"/>
      <c r="AG51"/>
      <c r="AL51"/>
      <c r="AM51"/>
      <c r="AN51"/>
      <c r="AW51"/>
      <c r="AY51"/>
      <c r="AZ51"/>
      <c r="BA51"/>
      <c r="BB51"/>
      <c r="BC51"/>
      <c r="BD51"/>
      <c r="BE51"/>
      <c r="BF51"/>
      <c r="BG51"/>
      <c r="BH51"/>
      <c r="BI51"/>
      <c r="BJ51"/>
      <c r="BK51"/>
      <c r="BL51"/>
      <c r="BM51"/>
      <c r="BQ51"/>
      <c r="BS51"/>
    </row>
    <row r="52" spans="1:71" x14ac:dyDescent="0.25">
      <c r="A52" t="s">
        <v>588</v>
      </c>
      <c r="B52" s="63">
        <f>AW42</f>
        <v>2526.48</v>
      </c>
      <c r="C52" s="356" t="s">
        <v>258</v>
      </c>
      <c r="D52"/>
      <c r="E52"/>
      <c r="H52"/>
      <c r="I52"/>
      <c r="J52"/>
      <c r="K52"/>
      <c r="L52"/>
      <c r="M52"/>
      <c r="N52"/>
      <c r="O52"/>
      <c r="P52"/>
      <c r="Q52"/>
      <c r="R52"/>
      <c r="S52"/>
      <c r="T52"/>
      <c r="U52"/>
      <c r="V52"/>
      <c r="W52"/>
      <c r="X52"/>
      <c r="Y52"/>
      <c r="Z52"/>
      <c r="AE52"/>
      <c r="AF52"/>
      <c r="AG52"/>
      <c r="AL52"/>
      <c r="AM52"/>
      <c r="AN52"/>
      <c r="AW52"/>
      <c r="AY52"/>
      <c r="AZ52"/>
      <c r="BA52"/>
      <c r="BB52"/>
      <c r="BC52"/>
      <c r="BD52"/>
      <c r="BE52"/>
      <c r="BF52"/>
      <c r="BG52"/>
      <c r="BH52"/>
      <c r="BI52"/>
      <c r="BJ52"/>
      <c r="BK52"/>
      <c r="BL52"/>
      <c r="BM52"/>
      <c r="BQ52"/>
      <c r="BS52"/>
    </row>
    <row r="53" spans="1:71" x14ac:dyDescent="0.25">
      <c r="A53" t="s">
        <v>198</v>
      </c>
      <c r="B53" s="63">
        <f>AX42</f>
        <v>2591.2615384615387</v>
      </c>
      <c r="C53" s="356" t="s">
        <v>318</v>
      </c>
      <c r="D53"/>
      <c r="E53"/>
      <c r="H53"/>
      <c r="I53"/>
      <c r="J53"/>
      <c r="K53"/>
      <c r="L53"/>
      <c r="M53"/>
      <c r="N53"/>
      <c r="O53"/>
      <c r="P53"/>
      <c r="Q53"/>
      <c r="R53"/>
      <c r="S53"/>
      <c r="T53"/>
      <c r="U53"/>
      <c r="V53"/>
      <c r="W53"/>
      <c r="X53"/>
      <c r="Y53"/>
      <c r="Z53"/>
      <c r="AE53"/>
      <c r="AF53"/>
      <c r="AG53"/>
      <c r="AL53"/>
      <c r="AM53"/>
      <c r="AN53"/>
      <c r="AW53"/>
      <c r="AY53"/>
      <c r="AZ53"/>
      <c r="BA53"/>
      <c r="BB53"/>
      <c r="BC53"/>
      <c r="BD53"/>
      <c r="BE53"/>
      <c r="BF53"/>
      <c r="BG53"/>
      <c r="BH53"/>
      <c r="BI53"/>
      <c r="BJ53"/>
      <c r="BK53"/>
      <c r="BL53"/>
      <c r="BM53"/>
      <c r="BQ53"/>
      <c r="BS53"/>
    </row>
    <row r="54" spans="1:71" x14ac:dyDescent="0.25">
      <c r="A54" s="192" t="s">
        <v>590</v>
      </c>
      <c r="B54" s="287">
        <f>B52-B53</f>
        <v>-64.78153846153873</v>
      </c>
      <c r="C54" s="178" t="s">
        <v>328</v>
      </c>
      <c r="D54" t="s">
        <v>670</v>
      </c>
      <c r="E54"/>
      <c r="H54"/>
      <c r="I54"/>
      <c r="J54"/>
      <c r="K54"/>
      <c r="L54"/>
      <c r="M54"/>
      <c r="N54"/>
      <c r="O54"/>
      <c r="P54"/>
      <c r="Q54"/>
      <c r="R54"/>
      <c r="S54"/>
      <c r="T54"/>
      <c r="U54"/>
      <c r="V54"/>
      <c r="W54"/>
      <c r="X54"/>
      <c r="Y54"/>
      <c r="Z54"/>
      <c r="AE54"/>
      <c r="AF54"/>
      <c r="AG54"/>
      <c r="AL54"/>
      <c r="AM54"/>
      <c r="AN54"/>
      <c r="AW54"/>
      <c r="AY54"/>
      <c r="AZ54"/>
      <c r="BA54"/>
      <c r="BB54"/>
      <c r="BC54"/>
      <c r="BD54"/>
      <c r="BE54"/>
      <c r="BF54"/>
      <c r="BG54"/>
      <c r="BH54"/>
      <c r="BI54"/>
      <c r="BJ54"/>
      <c r="BK54"/>
      <c r="BL54"/>
      <c r="BM54"/>
      <c r="BQ54"/>
      <c r="BS54"/>
    </row>
    <row r="55" spans="1:71" x14ac:dyDescent="0.25">
      <c r="A55" s="192"/>
      <c r="B55" s="63"/>
      <c r="C55" s="178"/>
      <c r="D55"/>
      <c r="E55"/>
      <c r="H55"/>
      <c r="I55"/>
      <c r="J55"/>
      <c r="K55"/>
      <c r="L55"/>
      <c r="M55"/>
      <c r="N55"/>
      <c r="O55"/>
      <c r="P55"/>
      <c r="Q55"/>
      <c r="R55"/>
      <c r="S55"/>
      <c r="T55"/>
      <c r="U55"/>
      <c r="V55"/>
      <c r="W55"/>
      <c r="X55"/>
      <c r="Y55"/>
      <c r="Z55"/>
      <c r="AE55"/>
      <c r="AF55"/>
      <c r="AG55"/>
      <c r="AL55"/>
      <c r="AM55"/>
      <c r="AN55"/>
      <c r="AW55"/>
      <c r="AY55"/>
      <c r="AZ55"/>
      <c r="BA55"/>
      <c r="BB55"/>
      <c r="BC55"/>
      <c r="BD55"/>
      <c r="BE55"/>
      <c r="BF55"/>
      <c r="BG55"/>
      <c r="BH55"/>
      <c r="BI55"/>
      <c r="BJ55"/>
      <c r="BK55"/>
      <c r="BL55"/>
      <c r="BM55"/>
      <c r="BQ55"/>
      <c r="BS55"/>
    </row>
    <row r="56" spans="1:71" x14ac:dyDescent="0.25">
      <c r="A56" s="192" t="s">
        <v>507</v>
      </c>
      <c r="B56" s="224">
        <f>(B49+B54)/1000000</f>
        <v>1.4145902566329891</v>
      </c>
      <c r="C56" s="178" t="s">
        <v>222</v>
      </c>
      <c r="D56"/>
      <c r="E56"/>
      <c r="H56"/>
      <c r="I56"/>
      <c r="J56"/>
      <c r="K56"/>
      <c r="L56"/>
      <c r="M56"/>
      <c r="N56"/>
      <c r="O56"/>
      <c r="P56"/>
      <c r="Q56"/>
      <c r="R56"/>
      <c r="S56"/>
      <c r="T56"/>
      <c r="U56"/>
      <c r="V56"/>
      <c r="W56"/>
      <c r="X56"/>
      <c r="Y56"/>
      <c r="Z56"/>
      <c r="AE56"/>
      <c r="AF56"/>
      <c r="AG56"/>
      <c r="AL56"/>
      <c r="AM56"/>
      <c r="AN56"/>
      <c r="AW56"/>
      <c r="AY56"/>
      <c r="AZ56"/>
      <c r="BA56"/>
      <c r="BB56"/>
      <c r="BC56"/>
      <c r="BD56"/>
      <c r="BE56"/>
      <c r="BF56"/>
      <c r="BG56"/>
      <c r="BH56"/>
      <c r="BI56"/>
      <c r="BJ56"/>
      <c r="BK56"/>
      <c r="BL56"/>
      <c r="BM56"/>
      <c r="BQ56"/>
      <c r="BS56"/>
    </row>
    <row r="57" spans="1:71" ht="15.75" x14ac:dyDescent="0.25">
      <c r="A57" s="192" t="s">
        <v>591</v>
      </c>
      <c r="B57" s="224">
        <f>IF((B49+B54)&lt;0,(B49+B54)/1000000,0)</f>
        <v>0</v>
      </c>
      <c r="C57" s="178" t="s">
        <v>222</v>
      </c>
      <c r="D57"/>
      <c r="E57" s="194" t="s">
        <v>592</v>
      </c>
      <c r="F57" s="3" t="s">
        <v>593</v>
      </c>
      <c r="H57"/>
      <c r="I57"/>
      <c r="J57"/>
      <c r="K57"/>
      <c r="L57"/>
      <c r="M57"/>
      <c r="N57"/>
      <c r="O57"/>
      <c r="P57"/>
      <c r="Q57"/>
      <c r="R57"/>
      <c r="S57"/>
      <c r="T57"/>
      <c r="U57"/>
      <c r="V57"/>
      <c r="W57"/>
      <c r="X57"/>
      <c r="Y57"/>
      <c r="Z57"/>
      <c r="AE57"/>
      <c r="AF57"/>
      <c r="AG57"/>
      <c r="AL57"/>
      <c r="AM57"/>
      <c r="AN57"/>
      <c r="AW57"/>
      <c r="AY57"/>
      <c r="AZ57"/>
      <c r="BA57"/>
      <c r="BB57"/>
      <c r="BC57"/>
      <c r="BD57"/>
      <c r="BE57"/>
      <c r="BF57"/>
      <c r="BG57"/>
      <c r="BH57"/>
      <c r="BI57"/>
      <c r="BJ57"/>
      <c r="BK57"/>
      <c r="BL57"/>
      <c r="BM57"/>
      <c r="BQ57"/>
      <c r="BS57"/>
    </row>
    <row r="58" spans="1:71" x14ac:dyDescent="0.25">
      <c r="C58" s="3"/>
      <c r="D58"/>
      <c r="E58"/>
      <c r="F58" s="3" t="s">
        <v>594</v>
      </c>
      <c r="H58"/>
      <c r="I58"/>
      <c r="J58"/>
      <c r="K58"/>
      <c r="L58"/>
      <c r="M58"/>
      <c r="N58"/>
      <c r="O58"/>
      <c r="P58"/>
      <c r="Q58"/>
      <c r="R58"/>
      <c r="S58"/>
      <c r="T58"/>
      <c r="U58"/>
      <c r="V58"/>
      <c r="W58"/>
      <c r="X58"/>
      <c r="Y58"/>
      <c r="Z58"/>
      <c r="AE58"/>
      <c r="AF58"/>
      <c r="AG58"/>
      <c r="AL58"/>
      <c r="AM58"/>
      <c r="AN58"/>
      <c r="AW58"/>
      <c r="AY58"/>
      <c r="AZ58"/>
      <c r="BA58"/>
      <c r="BB58"/>
      <c r="BC58"/>
      <c r="BD58"/>
      <c r="BE58"/>
      <c r="BF58"/>
      <c r="BG58"/>
      <c r="BH58"/>
      <c r="BI58"/>
      <c r="BJ58"/>
      <c r="BK58"/>
      <c r="BL58"/>
      <c r="BM58"/>
      <c r="BQ58"/>
      <c r="BS58"/>
    </row>
    <row r="59" spans="1:71" ht="15.75" x14ac:dyDescent="0.25">
      <c r="A59" s="171" t="s">
        <v>335</v>
      </c>
      <c r="C59" s="3"/>
      <c r="D59"/>
      <c r="E59"/>
      <c r="F59" s="3" t="s">
        <v>595</v>
      </c>
      <c r="H59"/>
      <c r="I59"/>
      <c r="J59"/>
      <c r="K59"/>
      <c r="L59"/>
      <c r="M59"/>
      <c r="N59"/>
      <c r="O59"/>
      <c r="P59"/>
      <c r="Q59"/>
      <c r="R59"/>
      <c r="S59"/>
      <c r="T59"/>
      <c r="U59"/>
      <c r="V59"/>
      <c r="W59"/>
      <c r="X59"/>
      <c r="Y59"/>
      <c r="Z59"/>
      <c r="AE59"/>
      <c r="AF59"/>
      <c r="AG59"/>
      <c r="AL59"/>
      <c r="AM59"/>
      <c r="AN59"/>
      <c r="AW59"/>
      <c r="AY59"/>
      <c r="AZ59"/>
      <c r="BA59"/>
      <c r="BB59"/>
      <c r="BC59"/>
      <c r="BD59"/>
      <c r="BE59"/>
      <c r="BF59"/>
      <c r="BG59"/>
      <c r="BH59"/>
      <c r="BI59"/>
      <c r="BJ59"/>
      <c r="BK59"/>
      <c r="BL59"/>
      <c r="BM59"/>
      <c r="BQ59"/>
      <c r="BS59"/>
    </row>
    <row r="60" spans="1:71" x14ac:dyDescent="0.25">
      <c r="A60" t="s">
        <v>596</v>
      </c>
      <c r="B60" s="37">
        <f>AK42/1000000</f>
        <v>0.14000000000000001</v>
      </c>
      <c r="C60" s="3"/>
      <c r="D60"/>
      <c r="E60"/>
      <c r="F60" s="3"/>
      <c r="H60"/>
      <c r="I60"/>
      <c r="J60"/>
      <c r="K60"/>
      <c r="L60"/>
      <c r="M60"/>
      <c r="N60"/>
      <c r="O60"/>
      <c r="P60"/>
      <c r="Q60"/>
      <c r="R60"/>
      <c r="S60"/>
      <c r="T60"/>
      <c r="U60"/>
      <c r="V60"/>
      <c r="W60"/>
      <c r="X60"/>
      <c r="Y60"/>
      <c r="Z60"/>
      <c r="AE60"/>
      <c r="AF60"/>
      <c r="AG60"/>
      <c r="AL60"/>
      <c r="AM60"/>
      <c r="AN60"/>
      <c r="AW60"/>
      <c r="AY60"/>
      <c r="AZ60"/>
      <c r="BA60"/>
      <c r="BB60"/>
      <c r="BC60"/>
      <c r="BD60"/>
      <c r="BE60"/>
      <c r="BF60"/>
      <c r="BG60"/>
      <c r="BH60"/>
      <c r="BI60"/>
      <c r="BJ60"/>
      <c r="BK60"/>
      <c r="BL60"/>
      <c r="BM60"/>
      <c r="BQ60"/>
      <c r="BS60"/>
    </row>
    <row r="61" spans="1:71" x14ac:dyDescent="0.25">
      <c r="A61" t="s">
        <v>597</v>
      </c>
      <c r="B61" s="37">
        <f>AL42/1000000</f>
        <v>1.0363731796676814E-2</v>
      </c>
      <c r="C61" s="3"/>
      <c r="D61"/>
      <c r="E61"/>
      <c r="F61" s="3"/>
      <c r="H61"/>
      <c r="I61"/>
      <c r="J61"/>
      <c r="K61"/>
      <c r="L61"/>
      <c r="M61"/>
      <c r="N61"/>
      <c r="O61"/>
      <c r="P61"/>
      <c r="Q61"/>
      <c r="R61"/>
      <c r="S61"/>
      <c r="T61"/>
      <c r="U61"/>
      <c r="V61"/>
      <c r="W61"/>
      <c r="X61"/>
      <c r="Y61"/>
      <c r="Z61"/>
      <c r="AE61"/>
      <c r="AF61"/>
      <c r="AG61"/>
      <c r="AL61"/>
      <c r="AM61"/>
      <c r="AN61"/>
      <c r="AW61"/>
      <c r="AY61"/>
      <c r="AZ61"/>
      <c r="BA61"/>
      <c r="BB61"/>
      <c r="BC61"/>
      <c r="BD61"/>
      <c r="BE61"/>
      <c r="BF61"/>
      <c r="BG61"/>
      <c r="BH61"/>
      <c r="BI61"/>
      <c r="BJ61"/>
      <c r="BK61"/>
      <c r="BL61"/>
      <c r="BM61"/>
      <c r="BQ61"/>
      <c r="BS61"/>
    </row>
    <row r="62" spans="1:71" x14ac:dyDescent="0.25">
      <c r="A62" t="s">
        <v>598</v>
      </c>
      <c r="B62" s="37">
        <f>AM42/1000000</f>
        <v>0.93261671696986748</v>
      </c>
      <c r="C62" s="3"/>
      <c r="D62"/>
      <c r="E62"/>
      <c r="F62" s="3"/>
      <c r="H62"/>
      <c r="I62"/>
      <c r="J62"/>
      <c r="K62"/>
      <c r="L62"/>
      <c r="M62"/>
      <c r="N62"/>
      <c r="O62"/>
      <c r="P62"/>
      <c r="Q62"/>
      <c r="R62"/>
      <c r="S62"/>
      <c r="T62"/>
      <c r="U62"/>
      <c r="V62"/>
      <c r="W62"/>
      <c r="X62"/>
      <c r="Y62"/>
      <c r="Z62"/>
      <c r="AE62"/>
      <c r="AF62"/>
      <c r="AG62"/>
      <c r="AL62"/>
      <c r="AM62"/>
      <c r="AN62"/>
      <c r="AW62"/>
      <c r="AY62"/>
      <c r="AZ62"/>
      <c r="BA62"/>
      <c r="BB62"/>
      <c r="BC62"/>
      <c r="BD62"/>
      <c r="BE62"/>
      <c r="BF62"/>
      <c r="BG62"/>
      <c r="BH62"/>
      <c r="BI62"/>
      <c r="BJ62"/>
      <c r="BK62"/>
      <c r="BL62"/>
      <c r="BM62"/>
      <c r="BQ62"/>
      <c r="BS62"/>
    </row>
    <row r="63" spans="1:71" x14ac:dyDescent="0.25">
      <c r="B63" s="37"/>
      <c r="C63" s="3"/>
      <c r="D63"/>
      <c r="E63"/>
      <c r="F63" s="3"/>
      <c r="H63"/>
      <c r="I63"/>
      <c r="J63"/>
      <c r="K63"/>
      <c r="L63"/>
      <c r="M63"/>
      <c r="N63"/>
      <c r="O63"/>
      <c r="P63"/>
      <c r="Q63"/>
      <c r="R63"/>
      <c r="S63"/>
      <c r="T63"/>
      <c r="U63"/>
      <c r="V63"/>
      <c r="W63"/>
      <c r="X63"/>
      <c r="Y63"/>
      <c r="Z63"/>
      <c r="AE63"/>
      <c r="AF63"/>
      <c r="AG63"/>
      <c r="AL63"/>
      <c r="AM63"/>
      <c r="AN63"/>
      <c r="AW63"/>
      <c r="AY63"/>
      <c r="AZ63"/>
      <c r="BA63"/>
      <c r="BB63"/>
      <c r="BC63"/>
      <c r="BD63"/>
      <c r="BE63"/>
      <c r="BF63"/>
      <c r="BG63"/>
      <c r="BH63"/>
      <c r="BI63"/>
      <c r="BJ63"/>
      <c r="BK63"/>
      <c r="BL63"/>
      <c r="BM63"/>
      <c r="BQ63"/>
      <c r="BS63"/>
    </row>
    <row r="64" spans="1:71" x14ac:dyDescent="0.25">
      <c r="A64" t="s">
        <v>599</v>
      </c>
      <c r="B64" s="37">
        <f>AN42/1000000</f>
        <v>-1.3425015090960231</v>
      </c>
      <c r="C64" s="335"/>
      <c r="D64"/>
      <c r="E64"/>
      <c r="F64" s="3"/>
      <c r="H64"/>
      <c r="I64"/>
      <c r="J64"/>
      <c r="K64"/>
      <c r="L64"/>
      <c r="M64"/>
      <c r="N64"/>
      <c r="O64"/>
      <c r="P64"/>
      <c r="Q64"/>
      <c r="R64"/>
      <c r="S64"/>
      <c r="T64"/>
      <c r="U64"/>
      <c r="V64"/>
      <c r="W64"/>
      <c r="X64"/>
      <c r="Y64"/>
      <c r="Z64"/>
      <c r="AE64"/>
      <c r="AF64"/>
      <c r="AG64"/>
      <c r="AL64"/>
      <c r="AM64"/>
      <c r="AN64"/>
      <c r="AW64"/>
      <c r="AY64"/>
      <c r="AZ64"/>
      <c r="BA64"/>
      <c r="BB64"/>
      <c r="BC64"/>
      <c r="BD64"/>
      <c r="BE64"/>
      <c r="BF64"/>
      <c r="BG64"/>
      <c r="BH64"/>
      <c r="BI64"/>
      <c r="BJ64"/>
      <c r="BK64"/>
      <c r="BL64"/>
      <c r="BM64"/>
      <c r="BQ64"/>
      <c r="BS64"/>
    </row>
    <row r="65" spans="1:74" x14ac:dyDescent="0.25">
      <c r="A65" s="192" t="s">
        <v>342</v>
      </c>
      <c r="B65" s="616">
        <f>SUM(B60:B64)</f>
        <v>-0.25952106032947864</v>
      </c>
      <c r="C65" s="178" t="s">
        <v>222</v>
      </c>
      <c r="D65" t="s">
        <v>670</v>
      </c>
      <c r="E65"/>
      <c r="F65" s="3"/>
      <c r="H65"/>
      <c r="I65"/>
      <c r="J65"/>
      <c r="K65"/>
      <c r="L65"/>
      <c r="M65"/>
      <c r="N65"/>
      <c r="O65"/>
      <c r="P65"/>
      <c r="Q65"/>
      <c r="R65"/>
      <c r="S65"/>
      <c r="T65"/>
      <c r="U65"/>
      <c r="V65"/>
      <c r="W65"/>
      <c r="X65"/>
      <c r="Y65"/>
      <c r="Z65"/>
      <c r="AE65"/>
      <c r="AF65"/>
      <c r="AG65"/>
      <c r="AL65"/>
      <c r="AM65"/>
      <c r="AN65"/>
      <c r="AW65"/>
      <c r="AY65"/>
      <c r="AZ65"/>
      <c r="BA65"/>
      <c r="BB65"/>
      <c r="BC65"/>
      <c r="BD65"/>
      <c r="BE65"/>
      <c r="BF65"/>
      <c r="BG65"/>
      <c r="BH65"/>
      <c r="BI65"/>
      <c r="BJ65"/>
      <c r="BK65"/>
      <c r="BL65"/>
      <c r="BM65"/>
      <c r="BQ65"/>
      <c r="BS65"/>
    </row>
    <row r="66" spans="1:74" x14ac:dyDescent="0.25">
      <c r="D66"/>
      <c r="F66"/>
      <c r="G66"/>
      <c r="H66"/>
      <c r="I66"/>
      <c r="J66"/>
      <c r="K66"/>
      <c r="L66"/>
      <c r="M66"/>
      <c r="N66"/>
      <c r="O66"/>
      <c r="P66"/>
      <c r="Q66"/>
      <c r="R66"/>
      <c r="S66"/>
      <c r="T66"/>
      <c r="U66"/>
      <c r="V66"/>
      <c r="W66"/>
      <c r="X66"/>
      <c r="Y66"/>
      <c r="Z66"/>
      <c r="AE66"/>
      <c r="AF66"/>
      <c r="AG66"/>
      <c r="AL66"/>
      <c r="AM66"/>
      <c r="AN66"/>
      <c r="AW66"/>
      <c r="AY66"/>
      <c r="AZ66"/>
      <c r="BA66"/>
      <c r="BB66"/>
      <c r="BC66"/>
      <c r="BD66"/>
      <c r="BE66"/>
      <c r="BF66"/>
      <c r="BG66"/>
      <c r="BH66"/>
      <c r="BI66"/>
      <c r="BJ66"/>
      <c r="BK66"/>
      <c r="BL66"/>
      <c r="BM66"/>
      <c r="BQ66"/>
      <c r="BS66"/>
    </row>
    <row r="67" spans="1:74" x14ac:dyDescent="0.25">
      <c r="B67" s="29"/>
      <c r="C67" s="3"/>
      <c r="D67" s="279"/>
      <c r="E67" s="290"/>
    </row>
    <row r="68" spans="1:74" x14ac:dyDescent="0.25">
      <c r="B68" s="144"/>
      <c r="E68" s="3"/>
    </row>
    <row r="70" spans="1:74" ht="15.75" x14ac:dyDescent="0.25">
      <c r="A70" s="171" t="s">
        <v>343</v>
      </c>
    </row>
    <row r="71" spans="1:74" x14ac:dyDescent="0.25">
      <c r="A71" s="3" t="s">
        <v>344</v>
      </c>
    </row>
    <row r="72" spans="1:74" x14ac:dyDescent="0.25">
      <c r="A72" s="3" t="s">
        <v>345</v>
      </c>
    </row>
    <row r="73" spans="1:74" x14ac:dyDescent="0.25">
      <c r="A73" s="173">
        <v>0</v>
      </c>
      <c r="B73" s="3" t="s">
        <v>222</v>
      </c>
    </row>
    <row r="74" spans="1:74" x14ac:dyDescent="0.25">
      <c r="A74" s="1"/>
    </row>
    <row r="75" spans="1:74" x14ac:dyDescent="0.25">
      <c r="A75" s="21" t="s">
        <v>346</v>
      </c>
    </row>
    <row r="79" spans="1:74" x14ac:dyDescent="0.25">
      <c r="A79" s="39" t="s">
        <v>263</v>
      </c>
      <c r="H79" s="1"/>
      <c r="AA79" s="1"/>
      <c r="AB79" s="1"/>
      <c r="AC79" s="1"/>
      <c r="AD79" s="1"/>
      <c r="AH79" s="1"/>
      <c r="AI79" s="1"/>
      <c r="AJ79" s="1"/>
      <c r="AK79" s="1"/>
      <c r="AN79"/>
      <c r="AW79"/>
      <c r="AY79"/>
      <c r="AZ79"/>
      <c r="BA79"/>
      <c r="BB79"/>
      <c r="BC79"/>
      <c r="BD79"/>
      <c r="BE79"/>
      <c r="BF79"/>
      <c r="BG79"/>
      <c r="BH79"/>
      <c r="BI79"/>
      <c r="BJ79"/>
      <c r="BK79"/>
      <c r="BL79"/>
      <c r="BM79"/>
      <c r="BQ79"/>
      <c r="BS79"/>
    </row>
    <row r="80" spans="1:74" s="11" customFormat="1" x14ac:dyDescent="0.25">
      <c r="A80" s="18" t="s">
        <v>207</v>
      </c>
      <c r="B80" s="22">
        <v>2025</v>
      </c>
      <c r="C80" s="11">
        <f>B80+1</f>
        <v>2026</v>
      </c>
      <c r="D80" s="11">
        <f t="shared" ref="D80:AL80" si="10">C80+1</f>
        <v>2027</v>
      </c>
      <c r="E80" s="11">
        <f t="shared" si="10"/>
        <v>2028</v>
      </c>
      <c r="F80" s="11">
        <f t="shared" si="10"/>
        <v>2029</v>
      </c>
      <c r="G80" s="11">
        <f t="shared" si="10"/>
        <v>2030</v>
      </c>
      <c r="H80" s="11">
        <f t="shared" si="10"/>
        <v>2031</v>
      </c>
      <c r="I80" s="11">
        <f t="shared" si="10"/>
        <v>2032</v>
      </c>
      <c r="J80" s="11">
        <f t="shared" si="10"/>
        <v>2033</v>
      </c>
      <c r="K80" s="11">
        <f t="shared" si="10"/>
        <v>2034</v>
      </c>
      <c r="L80" s="11">
        <f t="shared" si="10"/>
        <v>2035</v>
      </c>
      <c r="M80" s="11">
        <f t="shared" si="10"/>
        <v>2036</v>
      </c>
      <c r="N80" s="11">
        <f t="shared" si="10"/>
        <v>2037</v>
      </c>
      <c r="O80" s="11">
        <f t="shared" si="10"/>
        <v>2038</v>
      </c>
      <c r="P80" s="11">
        <f t="shared" si="10"/>
        <v>2039</v>
      </c>
      <c r="Q80" s="11">
        <f t="shared" si="10"/>
        <v>2040</v>
      </c>
      <c r="R80" s="11">
        <f t="shared" si="10"/>
        <v>2041</v>
      </c>
      <c r="S80" s="11">
        <f t="shared" si="10"/>
        <v>2042</v>
      </c>
      <c r="T80" s="11">
        <f t="shared" si="10"/>
        <v>2043</v>
      </c>
      <c r="U80" s="11">
        <f t="shared" si="10"/>
        <v>2044</v>
      </c>
      <c r="V80" s="11">
        <f t="shared" si="10"/>
        <v>2045</v>
      </c>
      <c r="W80" s="11">
        <f t="shared" si="10"/>
        <v>2046</v>
      </c>
      <c r="X80" s="11">
        <f t="shared" si="10"/>
        <v>2047</v>
      </c>
      <c r="Y80" s="11">
        <f t="shared" si="10"/>
        <v>2048</v>
      </c>
      <c r="Z80" s="11">
        <f t="shared" si="10"/>
        <v>2049</v>
      </c>
      <c r="AA80" s="11">
        <f t="shared" si="10"/>
        <v>2050</v>
      </c>
      <c r="AB80" s="11">
        <f t="shared" si="10"/>
        <v>2051</v>
      </c>
      <c r="AC80" s="11">
        <f t="shared" si="10"/>
        <v>2052</v>
      </c>
      <c r="AD80" s="11">
        <f t="shared" si="10"/>
        <v>2053</v>
      </c>
      <c r="AE80" s="11">
        <f t="shared" si="10"/>
        <v>2054</v>
      </c>
      <c r="AF80" s="11">
        <f t="shared" si="10"/>
        <v>2055</v>
      </c>
      <c r="AG80" s="11">
        <f t="shared" si="10"/>
        <v>2056</v>
      </c>
      <c r="AH80" s="11">
        <f t="shared" si="10"/>
        <v>2057</v>
      </c>
      <c r="AI80" s="11">
        <f t="shared" si="10"/>
        <v>2058</v>
      </c>
      <c r="AJ80" s="11">
        <f t="shared" si="10"/>
        <v>2059</v>
      </c>
      <c r="AK80" s="11">
        <f t="shared" si="10"/>
        <v>2060</v>
      </c>
      <c r="AL80" s="11">
        <f t="shared" si="10"/>
        <v>2061</v>
      </c>
      <c r="AM80" s="11">
        <f>AL80+1</f>
        <v>2062</v>
      </c>
      <c r="AN80" s="11">
        <f>AM80+1</f>
        <v>2063</v>
      </c>
      <c r="AO80" s="11">
        <f>AN80+1</f>
        <v>2064</v>
      </c>
      <c r="AP80" s="11">
        <f>AO80+1</f>
        <v>2065</v>
      </c>
      <c r="BU80" s="291"/>
      <c r="BV80" s="291"/>
    </row>
    <row r="81" spans="1:112" x14ac:dyDescent="0.25">
      <c r="A81" t="s">
        <v>235</v>
      </c>
      <c r="B81" s="1">
        <v>1</v>
      </c>
      <c r="C81" s="40">
        <f>B81*(1+'Kalkylvärden 1'!$D$9/100)</f>
        <v>1.0349999999999999</v>
      </c>
      <c r="D81" s="40">
        <f>C81*(1+'Kalkylvärden 1'!$D$9/100)</f>
        <v>1.0712249999999999</v>
      </c>
      <c r="E81" s="40">
        <f>D81*(1+'Kalkylvärden 1'!$D$9/100)</f>
        <v>1.1087178749999997</v>
      </c>
      <c r="F81" s="40">
        <f>E81*(1+'Kalkylvärden 1'!$D$9/100)</f>
        <v>1.1475230006249997</v>
      </c>
      <c r="G81" s="40">
        <f>F81*(1+'Kalkylvärden 1'!$D$9/100)</f>
        <v>1.1876863056468745</v>
      </c>
      <c r="H81" s="40">
        <f>G81*(1+'Kalkylvärden 1'!$D$9/100)</f>
        <v>1.229255326344515</v>
      </c>
      <c r="I81" s="40">
        <f>H81*(1+'Kalkylvärden 1'!$D$9/100)</f>
        <v>1.2722792627665729</v>
      </c>
      <c r="J81" s="40">
        <f>I81*(1+'Kalkylvärden 1'!$D$9/100)</f>
        <v>1.3168090369634029</v>
      </c>
      <c r="K81" s="40">
        <f>J81*(1+'Kalkylvärden 1'!$D$9/100)</f>
        <v>1.3628973532571218</v>
      </c>
      <c r="L81" s="40">
        <f>K81*(1+'Kalkylvärden 1'!$D$9/100)</f>
        <v>1.410598760621121</v>
      </c>
      <c r="M81" s="40">
        <f>L81*(1+'Kalkylvärden 1'!$D$9/100)</f>
        <v>1.4599697172428601</v>
      </c>
      <c r="N81" s="40">
        <f>M81*(1+'Kalkylvärden 1'!$D$9/100)</f>
        <v>1.5110686573463601</v>
      </c>
      <c r="O81" s="40">
        <f>N81*(1+'Kalkylvärden 1'!$D$9/100)</f>
        <v>1.5639560603534826</v>
      </c>
      <c r="P81" s="40">
        <f>O81*(1+'Kalkylvärden 1'!$D$9/100)</f>
        <v>1.6186945224658542</v>
      </c>
      <c r="Q81" s="40">
        <f>P81*(1+'Kalkylvärden 1'!$D$9/100)</f>
        <v>1.6753488307521589</v>
      </c>
      <c r="R81" s="40">
        <f>Q81*(1+'Kalkylvärden 1'!$D$9/100)</f>
        <v>1.7339860398284843</v>
      </c>
      <c r="S81" s="40">
        <f>R81*(1+'Kalkylvärden 1'!$D$9/100)</f>
        <v>1.7946755512224812</v>
      </c>
      <c r="T81" s="40">
        <f>S81*(1+'Kalkylvärden 1'!$D$9/100)</f>
        <v>1.8574891955152679</v>
      </c>
      <c r="U81" s="40">
        <f>T81*(1+'Kalkylvärden 1'!$D$9/100)</f>
        <v>1.9225013173583021</v>
      </c>
      <c r="V81" s="40">
        <f>U81*(1+'Kalkylvärden 1'!$D$9/100)</f>
        <v>1.9897888634658425</v>
      </c>
      <c r="W81" s="40">
        <f>V81*(1+'Kalkylvärden 1'!$D$9/100)</f>
        <v>2.0594314736871469</v>
      </c>
      <c r="X81" s="40">
        <f>W81*(1+'Kalkylvärden 1'!$D$9/100)</f>
        <v>2.1315115752661966</v>
      </c>
      <c r="Y81" s="40">
        <f>X81*(1+'Kalkylvärden 1'!$D$9/100)</f>
        <v>2.2061144804005135</v>
      </c>
      <c r="Z81" s="40">
        <f>Y81*(1+'Kalkylvärden 1'!$D$9/100)</f>
        <v>2.2833284872145314</v>
      </c>
      <c r="AA81" s="40">
        <f>Z81*(1+'Kalkylvärden 1'!$D$9/100)</f>
        <v>2.3632449842670398</v>
      </c>
      <c r="AB81" s="40">
        <f>AA81*(1+'Kalkylvärden 1'!$D$9/100)</f>
        <v>2.4459585587163861</v>
      </c>
      <c r="AC81" s="40">
        <f>AB81*(1+'Kalkylvärden 1'!$D$9/100)</f>
        <v>2.5315671082714593</v>
      </c>
      <c r="AD81" s="40">
        <f>AC81*(1+'Kalkylvärden 1'!$D$9/100)</f>
        <v>2.6201719570609603</v>
      </c>
      <c r="AE81" s="40">
        <f>AD81*(1+'Kalkylvärden 1'!$D$9/100)</f>
        <v>2.7118779755580937</v>
      </c>
      <c r="AF81" s="40">
        <f>AE81*(1+'Kalkylvärden 1'!$D$9/100)</f>
        <v>2.8067937047026268</v>
      </c>
      <c r="AG81" s="40">
        <f>AF81*(1+'Kalkylvärden 1'!$D$9/100)</f>
        <v>2.9050314843672185</v>
      </c>
      <c r="AH81" s="40">
        <f>AG81*(1+'Kalkylvärden 1'!$D$9/100)</f>
        <v>3.0067075863200707</v>
      </c>
      <c r="AI81" s="40">
        <f>AH81*(1+'Kalkylvärden 1'!$D$9/100)</f>
        <v>3.111942351841273</v>
      </c>
      <c r="AJ81" s="40">
        <f>AI81*(1+'Kalkylvärden 1'!$D$9/100)</f>
        <v>3.2208603341557174</v>
      </c>
      <c r="AK81" s="40">
        <f>AJ81*(1+'Kalkylvärden 1'!$D$9/100)</f>
        <v>3.3335904458511671</v>
      </c>
      <c r="AL81" s="40">
        <f>AK81*(1+'Kalkylvärden 1'!$D$9/100)</f>
        <v>3.4502661114559579</v>
      </c>
      <c r="AM81" s="40">
        <f>AL81*(1+'Kalkylvärden 1'!$D$9/100)</f>
        <v>3.571025425356916</v>
      </c>
      <c r="AN81" s="40">
        <f>AM81*(1+'Kalkylvärden 1'!$D$9/100)</f>
        <v>3.6960113152444078</v>
      </c>
      <c r="AO81" s="40">
        <f>AN81*(1+'Kalkylvärden 1'!$D$9/100)</f>
        <v>3.8253717112779619</v>
      </c>
      <c r="AP81" s="40">
        <f>AO81*(1+'Kalkylvärden 1'!$D$9/100)</f>
        <v>3.9592597211726903</v>
      </c>
      <c r="AR81" s="40"/>
      <c r="AS81" s="26"/>
      <c r="AT81" s="26"/>
      <c r="AU81" s="26"/>
      <c r="AV81" s="26"/>
      <c r="AW81" s="26"/>
      <c r="AX81" s="26"/>
      <c r="AY81" s="26"/>
      <c r="AZ81" s="26"/>
      <c r="BA81" s="26"/>
      <c r="BB81" s="26"/>
      <c r="BC81" s="26"/>
      <c r="BD81" s="26"/>
      <c r="BE81" s="26"/>
      <c r="BF81" s="26"/>
      <c r="BG81" s="26"/>
      <c r="BH81" s="26"/>
      <c r="BI81" s="26"/>
      <c r="BJ81" s="26"/>
      <c r="BK81" s="26"/>
      <c r="BL81" s="26"/>
      <c r="BM81" s="26"/>
      <c r="BQ81" s="26"/>
      <c r="BR81" s="26"/>
      <c r="BS81" s="26"/>
      <c r="BT81" s="26"/>
      <c r="BW81" s="40"/>
      <c r="BX81" s="40"/>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row>
    <row r="82" spans="1:112" x14ac:dyDescent="0.25">
      <c r="A82" t="s">
        <v>236</v>
      </c>
      <c r="B82" s="1">
        <v>1</v>
      </c>
      <c r="C82" s="40">
        <f>1/C81</f>
        <v>0.96618357487922713</v>
      </c>
      <c r="D82" s="40">
        <f t="shared" ref="D82:AL82" si="11">1/D81</f>
        <v>0.93351070036640305</v>
      </c>
      <c r="E82" s="40">
        <f t="shared" si="11"/>
        <v>0.90194270566802237</v>
      </c>
      <c r="F82" s="40">
        <f t="shared" si="11"/>
        <v>0.87144222769857238</v>
      </c>
      <c r="G82" s="40">
        <f t="shared" si="11"/>
        <v>0.84197316685852419</v>
      </c>
      <c r="H82" s="40">
        <f t="shared" si="11"/>
        <v>0.81350064430775293</v>
      </c>
      <c r="I82" s="40">
        <f t="shared" si="11"/>
        <v>0.78599096068381935</v>
      </c>
      <c r="J82" s="40">
        <f t="shared" si="11"/>
        <v>0.75941155621625056</v>
      </c>
      <c r="K82" s="40">
        <f t="shared" si="11"/>
        <v>0.73373097218961414</v>
      </c>
      <c r="L82" s="40">
        <f t="shared" si="11"/>
        <v>0.70891881370977217</v>
      </c>
      <c r="M82" s="40">
        <f t="shared" si="11"/>
        <v>0.68494571372924862</v>
      </c>
      <c r="N82" s="40">
        <f t="shared" si="11"/>
        <v>0.66178329828912907</v>
      </c>
      <c r="O82" s="40">
        <f t="shared" si="11"/>
        <v>0.63940415293635666</v>
      </c>
      <c r="P82" s="40">
        <f t="shared" si="11"/>
        <v>0.61778179027667324</v>
      </c>
      <c r="Q82" s="40">
        <f t="shared" si="11"/>
        <v>0.59689061862480508</v>
      </c>
      <c r="R82" s="40">
        <f t="shared" si="11"/>
        <v>0.57670591171478758</v>
      </c>
      <c r="S82" s="40">
        <f t="shared" si="11"/>
        <v>0.55720377943457733</v>
      </c>
      <c r="T82" s="40">
        <f t="shared" si="11"/>
        <v>0.53836113955031639</v>
      </c>
      <c r="U82" s="40">
        <f t="shared" si="11"/>
        <v>0.52015569038677911</v>
      </c>
      <c r="V82" s="40">
        <f t="shared" si="11"/>
        <v>0.50256588443167072</v>
      </c>
      <c r="W82" s="40">
        <f t="shared" si="11"/>
        <v>0.48557090283253213</v>
      </c>
      <c r="X82" s="40">
        <f t="shared" si="11"/>
        <v>0.46915063075606978</v>
      </c>
      <c r="Y82" s="40">
        <f t="shared" si="11"/>
        <v>0.45328563358074375</v>
      </c>
      <c r="Z82" s="40">
        <f t="shared" si="11"/>
        <v>0.43795713389443841</v>
      </c>
      <c r="AA82" s="40">
        <f t="shared" si="11"/>
        <v>0.42314698926998884</v>
      </c>
      <c r="AB82" s="40">
        <f t="shared" si="11"/>
        <v>0.40883767079225974</v>
      </c>
      <c r="AC82" s="40">
        <f t="shared" si="11"/>
        <v>0.39501224231136212</v>
      </c>
      <c r="AD82" s="40">
        <f t="shared" si="11"/>
        <v>0.38165434039745133</v>
      </c>
      <c r="AE82" s="40">
        <f t="shared" si="11"/>
        <v>0.36874815497338298</v>
      </c>
      <c r="AF82" s="40">
        <f t="shared" si="11"/>
        <v>0.35627841060230242</v>
      </c>
      <c r="AG82" s="40">
        <f t="shared" si="11"/>
        <v>0.34423034840802169</v>
      </c>
      <c r="AH82" s="40">
        <f t="shared" si="11"/>
        <v>0.33258970860678427</v>
      </c>
      <c r="AI82" s="40">
        <f t="shared" si="11"/>
        <v>0.32134271362974326</v>
      </c>
      <c r="AJ82" s="40">
        <f t="shared" si="11"/>
        <v>0.3104760518161771</v>
      </c>
      <c r="AK82" s="40">
        <f t="shared" si="11"/>
        <v>0.29997686165814214</v>
      </c>
      <c r="AL82" s="40">
        <f t="shared" si="11"/>
        <v>0.28983271657791515</v>
      </c>
      <c r="AM82" s="40">
        <f>1/AM81</f>
        <v>0.28003161022020789</v>
      </c>
      <c r="AN82" s="40">
        <f>1/AN81</f>
        <v>0.27056194224174679</v>
      </c>
      <c r="AO82" s="40">
        <f>1/AO81</f>
        <v>0.26141250458139786</v>
      </c>
      <c r="AP82" s="40">
        <f>1/AP81</f>
        <v>0.25257246819458734</v>
      </c>
      <c r="AR82" s="40"/>
      <c r="AS82" s="26"/>
      <c r="AT82" s="26"/>
      <c r="AU82" s="26"/>
      <c r="AV82" s="26"/>
      <c r="AW82" s="26"/>
      <c r="AX82" s="26"/>
      <c r="AY82" s="26"/>
      <c r="AZ82" s="26"/>
      <c r="BA82" s="26"/>
      <c r="BB82" s="26"/>
      <c r="BC82" s="26"/>
      <c r="BD82" s="26"/>
      <c r="BE82" s="26"/>
      <c r="BF82" s="26"/>
      <c r="BG82" s="26"/>
      <c r="BH82" s="26"/>
      <c r="BI82" s="26"/>
      <c r="BJ82" s="26"/>
      <c r="BK82" s="26"/>
      <c r="BL82" s="26"/>
      <c r="BM82" s="26"/>
      <c r="BQ82" s="26"/>
      <c r="BR82" s="26"/>
      <c r="BS82" s="26"/>
      <c r="BT82" s="26"/>
      <c r="BW82" s="40"/>
      <c r="BX82" s="40"/>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row>
    <row r="83" spans="1:112" x14ac:dyDescent="0.25">
      <c r="B83"/>
      <c r="C83"/>
      <c r="D83"/>
      <c r="E83"/>
      <c r="F83"/>
      <c r="G83"/>
      <c r="H83"/>
      <c r="I83"/>
      <c r="J83"/>
      <c r="K83"/>
      <c r="L83"/>
      <c r="M83"/>
      <c r="N83"/>
      <c r="O83"/>
      <c r="P83"/>
      <c r="Q83"/>
      <c r="R83"/>
      <c r="S83"/>
      <c r="T83"/>
      <c r="U83"/>
      <c r="V83"/>
      <c r="W83"/>
      <c r="X83"/>
      <c r="Y83"/>
      <c r="Z83"/>
      <c r="AE83"/>
      <c r="AF83"/>
      <c r="AG83"/>
      <c r="AI83" s="1"/>
      <c r="AJ83" s="1"/>
      <c r="AK83" s="1"/>
      <c r="AN83"/>
      <c r="AW83"/>
      <c r="AY83"/>
      <c r="AZ83"/>
      <c r="BA83"/>
      <c r="BB83"/>
      <c r="BC83"/>
      <c r="BD83"/>
      <c r="BE83"/>
      <c r="BF83"/>
      <c r="BG83"/>
      <c r="BH83"/>
      <c r="BI83"/>
      <c r="BJ83"/>
      <c r="BK83"/>
      <c r="BL83"/>
      <c r="BM83"/>
      <c r="BQ83"/>
      <c r="BS83"/>
    </row>
    <row r="84" spans="1:112" s="196" customFormat="1" ht="12.75" x14ac:dyDescent="0.2">
      <c r="A84" s="178" t="s">
        <v>207</v>
      </c>
      <c r="B84" s="72">
        <v>2025</v>
      </c>
      <c r="C84" s="196">
        <f>B84+1</f>
        <v>2026</v>
      </c>
      <c r="D84" s="196">
        <f t="shared" ref="D84:AL84" si="12">C84+1</f>
        <v>2027</v>
      </c>
      <c r="E84" s="196">
        <f t="shared" si="12"/>
        <v>2028</v>
      </c>
      <c r="F84" s="196">
        <f t="shared" si="12"/>
        <v>2029</v>
      </c>
      <c r="G84" s="196">
        <f t="shared" si="12"/>
        <v>2030</v>
      </c>
      <c r="H84" s="196">
        <f t="shared" si="12"/>
        <v>2031</v>
      </c>
      <c r="I84" s="196">
        <f t="shared" si="12"/>
        <v>2032</v>
      </c>
      <c r="J84" s="196">
        <f t="shared" si="12"/>
        <v>2033</v>
      </c>
      <c r="K84" s="196">
        <f t="shared" si="12"/>
        <v>2034</v>
      </c>
      <c r="L84" s="196">
        <f t="shared" si="12"/>
        <v>2035</v>
      </c>
      <c r="M84" s="196">
        <f t="shared" si="12"/>
        <v>2036</v>
      </c>
      <c r="N84" s="196">
        <f t="shared" si="12"/>
        <v>2037</v>
      </c>
      <c r="O84" s="196">
        <f t="shared" si="12"/>
        <v>2038</v>
      </c>
      <c r="P84" s="196">
        <f t="shared" si="12"/>
        <v>2039</v>
      </c>
      <c r="Q84" s="196">
        <f t="shared" si="12"/>
        <v>2040</v>
      </c>
      <c r="R84" s="196">
        <f t="shared" si="12"/>
        <v>2041</v>
      </c>
      <c r="S84" s="196">
        <f t="shared" si="12"/>
        <v>2042</v>
      </c>
      <c r="T84" s="196">
        <f t="shared" si="12"/>
        <v>2043</v>
      </c>
      <c r="U84" s="196">
        <f t="shared" si="12"/>
        <v>2044</v>
      </c>
      <c r="V84" s="196">
        <f t="shared" si="12"/>
        <v>2045</v>
      </c>
      <c r="W84" s="196">
        <f t="shared" si="12"/>
        <v>2046</v>
      </c>
      <c r="X84" s="196">
        <f t="shared" si="12"/>
        <v>2047</v>
      </c>
      <c r="Y84" s="196">
        <f t="shared" si="12"/>
        <v>2048</v>
      </c>
      <c r="Z84" s="196">
        <f t="shared" si="12"/>
        <v>2049</v>
      </c>
      <c r="AA84" s="196">
        <f t="shared" si="12"/>
        <v>2050</v>
      </c>
      <c r="AB84" s="196">
        <f t="shared" si="12"/>
        <v>2051</v>
      </c>
      <c r="AC84" s="196">
        <f t="shared" si="12"/>
        <v>2052</v>
      </c>
      <c r="AD84" s="196">
        <f t="shared" si="12"/>
        <v>2053</v>
      </c>
      <c r="AE84" s="196">
        <f t="shared" si="12"/>
        <v>2054</v>
      </c>
      <c r="AF84" s="196">
        <f t="shared" si="12"/>
        <v>2055</v>
      </c>
      <c r="AG84" s="196">
        <f t="shared" si="12"/>
        <v>2056</v>
      </c>
      <c r="AH84" s="196">
        <f t="shared" si="12"/>
        <v>2057</v>
      </c>
      <c r="AI84" s="196">
        <f t="shared" si="12"/>
        <v>2058</v>
      </c>
      <c r="AJ84" s="196">
        <f t="shared" si="12"/>
        <v>2059</v>
      </c>
      <c r="AK84" s="196">
        <f t="shared" si="12"/>
        <v>2060</v>
      </c>
      <c r="AL84" s="196">
        <f t="shared" si="12"/>
        <v>2061</v>
      </c>
      <c r="AM84" s="196">
        <f>AL84+1</f>
        <v>2062</v>
      </c>
      <c r="AN84" s="196">
        <f>AM84+1</f>
        <v>2063</v>
      </c>
      <c r="AO84" s="196">
        <f>AN84+1</f>
        <v>2064</v>
      </c>
      <c r="AP84" s="196">
        <f>AO84+1</f>
        <v>2065</v>
      </c>
      <c r="BU84" s="292"/>
      <c r="BV84" s="292"/>
    </row>
    <row r="85" spans="1:112" x14ac:dyDescent="0.25">
      <c r="AN85"/>
    </row>
    <row r="86" spans="1:112" x14ac:dyDescent="0.25">
      <c r="A86" t="s">
        <v>510</v>
      </c>
      <c r="B86" s="144">
        <f>IF(Diskontering!B16&lt;=Diskontering!$A$5,($B$49/1000000*Diskontering!B38),0)</f>
        <v>1.4146550381714507</v>
      </c>
      <c r="C86" s="144">
        <f>IF(Diskontering!C16&lt;=Diskontering!$A$5,($B$49/1000000*Diskontering!C38),0)</f>
        <v>1.3941527912414298</v>
      </c>
      <c r="D86" s="144">
        <f>IF(Diskontering!D16&lt;=Diskontering!$A$5,($B$49/1000000*Diskontering!D38),0)</f>
        <v>1.3739476783248872</v>
      </c>
      <c r="E86" s="144">
        <f>IF(Diskontering!E16&lt;=Diskontering!$A$5,($B$49/1000000*Diskontering!E38),0)</f>
        <v>1.3540353931317732</v>
      </c>
      <c r="F86" s="144">
        <f>IF(Diskontering!F16&lt;=Diskontering!$A$5,($B$49/1000000*Diskontering!F38),0)</f>
        <v>1.3344116917820374</v>
      </c>
      <c r="G86" s="144">
        <f>IF(Diskontering!G16&lt;=Diskontering!$A$5,($B$49/1000000*Diskontering!G38),0)</f>
        <v>1.3150723919011387</v>
      </c>
      <c r="H86" s="144">
        <f>IF(Diskontering!H16&lt;=Diskontering!$A$5,($B$49/1000000*Diskontering!H38),0)</f>
        <v>1.2960133717286584</v>
      </c>
      <c r="I86" s="144">
        <f>IF(Diskontering!I16&lt;=Diskontering!$A$5,($B$49/1000000*Diskontering!I38),0)</f>
        <v>1.2772305692398374</v>
      </c>
      <c r="J86" s="144">
        <f>IF(Diskontering!J16&lt;=Diskontering!$A$5,($B$49/1000000*Diskontering!J38),0)</f>
        <v>1.25871998127984</v>
      </c>
      <c r="K86" s="144">
        <f>IF(Diskontering!K16&lt;=Diskontering!$A$5,($B$49/1000000*Diskontering!K38),0)</f>
        <v>1.2404776627105669</v>
      </c>
      <c r="L86" s="144">
        <f>IF(Diskontering!L16&lt;=Diskontering!$A$5,($B$49/1000000*Diskontering!L38),0)</f>
        <v>1.2224997255698344</v>
      </c>
      <c r="M86" s="144">
        <f>IF(Diskontering!M16&lt;=Diskontering!$A$5,($B$49/1000000*Diskontering!M38),0)</f>
        <v>1.2047823382427356</v>
      </c>
      <c r="N86" s="144">
        <f>IF(Diskontering!N16&lt;=Diskontering!$A$5,($B$49/1000000*Diskontering!N38),0)</f>
        <v>1.1873217246450145</v>
      </c>
      <c r="O86" s="144">
        <f>IF(Diskontering!O16&lt;=Diskontering!$A$5,($B$49/1000000*Diskontering!O38),0)</f>
        <v>1.1701141634182752</v>
      </c>
      <c r="P86" s="144">
        <f>IF(Diskontering!P16&lt;=Diskontering!$A$5,($B$49/1000000*Diskontering!P38),0)</f>
        <v>1.1531559871368513</v>
      </c>
      <c r="Q86" s="144">
        <f>IF(Diskontering!Q16&lt;=Diskontering!$A$5,($B$49/1000000*Diskontering!Q38),0)</f>
        <v>1.1364435815261726</v>
      </c>
      <c r="R86" s="144">
        <f>IF(Diskontering!R16&lt;=Diskontering!$A$5,($B$49/1000000*Diskontering!R38),0)</f>
        <v>1.11997338469246</v>
      </c>
      <c r="S86" s="144">
        <f>IF(Diskontering!S16&lt;=Diskontering!$A$5,($B$49/1000000*Diskontering!S38),0)</f>
        <v>1.1037418863635837</v>
      </c>
      <c r="T86" s="144">
        <f>IF(Diskontering!T16&lt;=Diskontering!$A$5,($B$49/1000000*Diskontering!T38),0)</f>
        <v>1.0877456271409234</v>
      </c>
      <c r="U86" s="144">
        <f>IF(Diskontering!U16&lt;=Diskontering!$A$5,($B$49/1000000*Diskontering!U38),0)</f>
        <v>1.0719811977620695</v>
      </c>
      <c r="V86" s="144">
        <f>IF(Diskontering!V16&lt;=Diskontering!$A$5,($B$49/1000000*Diskontering!V38),0)</f>
        <v>1.0564452383742136</v>
      </c>
      <c r="W86" s="144">
        <f>IF(Diskontering!W16&lt;=Diskontering!$A$5,($B$49/1000000*Diskontering!W38),0)</f>
        <v>1.0411344378180658</v>
      </c>
      <c r="X86" s="144">
        <f>IF(Diskontering!X16&lt;=Diskontering!$A$5,($B$49/1000000*Diskontering!X38),0)</f>
        <v>1.0260455329221518</v>
      </c>
      <c r="Y86" s="144">
        <f>IF(Diskontering!Y16&lt;=Diskontering!$A$5,($B$49/1000000*Diskontering!Y38),0)</f>
        <v>1.011175307807338</v>
      </c>
      <c r="Z86" s="144">
        <f>IF(Diskontering!Z16&lt;=Diskontering!$A$5,($B$49/1000000*Diskontering!Z38),0)</f>
        <v>0.99652059320143471</v>
      </c>
      <c r="AA86" s="144">
        <f>IF(Diskontering!AA16&lt;=Diskontering!$A$5,($B$49/1000000*Diskontering!AA38),0)</f>
        <v>0.98207826576373269</v>
      </c>
      <c r="AB86" s="144">
        <f>IF(Diskontering!AB16&lt;=Diskontering!$A$5,($B$49/1000000*Diskontering!AB38),0)</f>
        <v>0.96784524741933076</v>
      </c>
      <c r="AC86" s="144">
        <f>IF(Diskontering!AC16&lt;=Diskontering!$A$5,($B$49/1000000*Diskontering!AC38),0)</f>
        <v>0.9538185047031088</v>
      </c>
      <c r="AD86" s="144">
        <f>IF(Diskontering!AD16&lt;=Diskontering!$A$5,($B$49/1000000*Diskontering!AD38),0)</f>
        <v>0.93999504811320878</v>
      </c>
      <c r="AE86" s="144">
        <f>IF(Diskontering!AE16&lt;=Diskontering!$A$5,($B$49/1000000*Diskontering!AE38),0)</f>
        <v>0.92637193147388708</v>
      </c>
      <c r="AF86" s="144">
        <f>IF(Diskontering!AF16&lt;=Diskontering!$A$5,($B$49/1000000*Diskontering!AF38),0)</f>
        <v>0.91294625130759888</v>
      </c>
      <c r="AG86" s="144">
        <f>IF(Diskontering!AG16&lt;=Diskontering!$A$5,($B$49/1000000*Diskontering!AG38),0)</f>
        <v>0.89971514621618454</v>
      </c>
      <c r="AH86" s="144">
        <f>IF(Diskontering!AH16&lt;=Diskontering!$A$5,($B$49/1000000*Diskontering!AH38),0)</f>
        <v>0.88667579627102255</v>
      </c>
      <c r="AI86" s="144">
        <f>IF(Diskontering!AI16&lt;=Diskontering!$A$5,($B$49/1000000*Diskontering!AI38),0)</f>
        <v>0.87382542241202221</v>
      </c>
      <c r="AJ86" s="144">
        <f>IF(Diskontering!AJ16&lt;=Diskontering!$A$5,($B$49/1000000*Diskontering!AJ38),0)</f>
        <v>0.86116128585532636</v>
      </c>
      <c r="AK86" s="144">
        <f>IF(Diskontering!AK16&lt;=Diskontering!$A$5,($B$49/1000000*Diskontering!AK38),0)</f>
        <v>0.84868068750959691</v>
      </c>
      <c r="AL86" s="144">
        <f>IF(Diskontering!AL16&lt;=Diskontering!$A$5,($B$49/1000000*Diskontering!AL38),0)</f>
        <v>0.83638096740076229</v>
      </c>
      <c r="AM86" s="144">
        <f>IF(Diskontering!AM16&lt;=Diskontering!$A$5,($B$49/1000000*Diskontering!AM38),0)</f>
        <v>0.82425950410509929</v>
      </c>
      <c r="AN86" s="144">
        <f>IF(Diskontering!AN16&lt;=Diskontering!$A$5,($B$49/1000000*Diskontering!AN38),0)</f>
        <v>0.81231371419053267</v>
      </c>
      <c r="AO86" s="144">
        <f>IF(Diskontering!AO16&lt;=Diskontering!$A$5,($B$49/1000000*Diskontering!AO38),0)</f>
        <v>0.8005410516660324</v>
      </c>
      <c r="AP86" s="144">
        <f>IF(Diskontering!AP16&lt;=Diskontering!$A$5,($B$49/1000000*Diskontering!AP38),0)</f>
        <v>0.78893900743898848</v>
      </c>
    </row>
    <row r="87" spans="1:112" x14ac:dyDescent="0.25">
      <c r="A87" t="s">
        <v>276</v>
      </c>
      <c r="B87" s="144">
        <f>IF(Diskontering!B16&lt;=Diskontering!$A$5,($B$54/1000000*Diskontering!B38),0)</f>
        <v>-6.4781538461538733E-5</v>
      </c>
      <c r="C87" s="144">
        <f>IF(Diskontering!C16&lt;=Diskontering!$A$5,($B$54/1000000*Diskontering!C38),0)</f>
        <v>-6.384267558528455E-5</v>
      </c>
      <c r="D87" s="144">
        <f>IF(Diskontering!D16&lt;=Diskontering!$A$5,($B$54/1000000*Diskontering!D38),0)</f>
        <v>-6.2917419417381882E-5</v>
      </c>
      <c r="E87" s="144">
        <f>IF(Diskontering!E16&lt;=Diskontering!$A$5,($B$54/1000000*Diskontering!E38),0)</f>
        <v>-6.2005572759158962E-5</v>
      </c>
      <c r="F87" s="144">
        <f>IF(Diskontering!F16&lt;=Diskontering!$A$5,($B$54/1000000*Diskontering!F38),0)</f>
        <v>-6.1106941269895788E-5</v>
      </c>
      <c r="G87" s="144">
        <f>IF(Diskontering!G16&lt;=Diskontering!$A$5,($B$54/1000000*Diskontering!G38),0)</f>
        <v>-6.022133342540456E-5</v>
      </c>
      <c r="H87" s="144">
        <f>IF(Diskontering!H16&lt;=Diskontering!$A$5,($B$54/1000000*Diskontering!H38),0)</f>
        <v>-5.9348560477210299E-5</v>
      </c>
      <c r="I87" s="144">
        <f>IF(Diskontering!I16&lt;=Diskontering!$A$5,($B$54/1000000*Diskontering!I38),0)</f>
        <v>-5.8488436412323197E-5</v>
      </c>
      <c r="J87" s="144">
        <f>IF(Diskontering!J16&lt;=Diskontering!$A$5,($B$54/1000000*Diskontering!J38),0)</f>
        <v>-5.7640777913593883E-5</v>
      </c>
      <c r="K87" s="144">
        <f>IF(Diskontering!K16&lt;=Diskontering!$A$5,($B$54/1000000*Diskontering!K38),0)</f>
        <v>-5.6805404320643252E-5</v>
      </c>
      <c r="L87" s="144">
        <f>IF(Diskontering!L16&lt;=Diskontering!$A$5,($B$54/1000000*Diskontering!L38),0)</f>
        <v>-5.5982137591358575E-5</v>
      </c>
      <c r="M87" s="144">
        <f>IF(Diskontering!M16&lt;=Diskontering!$A$5,($B$54/1000000*Diskontering!M38),0)</f>
        <v>-5.5170802263947592E-5</v>
      </c>
      <c r="N87" s="144">
        <f>IF(Diskontering!N16&lt;=Diskontering!$A$5,($B$54/1000000*Diskontering!N38),0)</f>
        <v>-5.4371225419542548E-5</v>
      </c>
      <c r="O87" s="144">
        <f>IF(Diskontering!O16&lt;=Diskontering!$A$5,($B$54/1000000*Diskontering!O38),0)</f>
        <v>-5.3583236645346282E-5</v>
      </c>
      <c r="P87" s="144">
        <f>IF(Diskontering!P16&lt;=Diskontering!$A$5,($B$54/1000000*Diskontering!P38),0)</f>
        <v>-5.2806667998312293E-5</v>
      </c>
      <c r="Q87" s="144">
        <f>IF(Diskontering!Q16&lt;=Diskontering!$A$5,($B$54/1000000*Diskontering!Q38),0)</f>
        <v>-5.2041353969351258E-5</v>
      </c>
      <c r="R87" s="144">
        <f>IF(Diskontering!R16&lt;=Diskontering!$A$5,($B$54/1000000*Diskontering!R38),0)</f>
        <v>-5.1287131448056309E-5</v>
      </c>
      <c r="S87" s="144">
        <f>IF(Diskontering!S16&lt;=Diskontering!$A$5,($B$54/1000000*Diskontering!S38),0)</f>
        <v>-5.0543839687939549E-5</v>
      </c>
      <c r="T87" s="144">
        <f>IF(Diskontering!T16&lt;=Diskontering!$A$5,($B$54/1000000*Diskontering!T38),0)</f>
        <v>-4.981132027217233E-5</v>
      </c>
      <c r="U87" s="144">
        <f>IF(Diskontering!U16&lt;=Diskontering!$A$5,($B$54/1000000*Diskontering!U38),0)</f>
        <v>-4.9089417079822004E-5</v>
      </c>
      <c r="V87" s="144">
        <f>IF(Diskontering!V16&lt;=Diskontering!$A$5,($B$54/1000000*Diskontering!V38),0)</f>
        <v>-4.8377976252578216E-5</v>
      </c>
      <c r="W87" s="144">
        <f>IF(Diskontering!W16&lt;=Diskontering!$A$5,($B$54/1000000*Diskontering!W38),0)</f>
        <v>-4.7676846161961146E-5</v>
      </c>
      <c r="X87" s="144">
        <f>IF(Diskontering!X16&lt;=Diskontering!$A$5,($B$54/1000000*Diskontering!X38),0)</f>
        <v>-4.6985877377005201E-5</v>
      </c>
      <c r="Y87" s="144">
        <f>IF(Diskontering!Y16&lt;=Diskontering!$A$5,($B$54/1000000*Diskontering!Y38),0)</f>
        <v>-4.6304922632410917E-5</v>
      </c>
      <c r="Z87" s="144">
        <f>IF(Diskontering!Z16&lt;=Diskontering!$A$5,($B$54/1000000*Diskontering!Z38),0)</f>
        <v>-4.5633836797158585E-5</v>
      </c>
      <c r="AA87" s="144">
        <f>IF(Diskontering!AA16&lt;=Diskontering!$A$5,($B$54/1000000*Diskontering!AA38),0)</f>
        <v>-4.4972476843576576E-5</v>
      </c>
      <c r="AB87" s="144">
        <f>IF(Diskontering!AB16&lt;=Diskontering!$A$5,($B$54/1000000*Diskontering!AB38),0)</f>
        <v>-4.4320701816858076E-5</v>
      </c>
      <c r="AC87" s="144">
        <f>IF(Diskontering!AC16&lt;=Diskontering!$A$5,($B$54/1000000*Diskontering!AC38),0)</f>
        <v>-4.3678372805019566E-5</v>
      </c>
      <c r="AD87" s="144">
        <f>IF(Diskontering!AD16&lt;=Diskontering!$A$5,($B$54/1000000*Diskontering!AD38),0)</f>
        <v>-4.3045352909294648E-5</v>
      </c>
      <c r="AE87" s="144">
        <f>IF(Diskontering!AE16&lt;=Diskontering!$A$5,($B$54/1000000*Diskontering!AE38),0)</f>
        <v>-4.2421507214957053E-5</v>
      </c>
      <c r="AF87" s="144">
        <f>IF(Diskontering!AF16&lt;=Diskontering!$A$5,($B$54/1000000*Diskontering!AF38),0)</f>
        <v>-4.1806702762566374E-5</v>
      </c>
      <c r="AG87" s="144">
        <f>IF(Diskontering!AG16&lt;=Diskontering!$A$5,($B$54/1000000*Diskontering!AG38),0)</f>
        <v>-4.1200808519630633E-5</v>
      </c>
      <c r="AH87" s="144">
        <f>IF(Diskontering!AH16&lt;=Diskontering!$A$5,($B$54/1000000*Diskontering!AH38),0)</f>
        <v>-4.0603695352679473E-5</v>
      </c>
      <c r="AI87" s="144">
        <f>IF(Diskontering!AI16&lt;=Diskontering!$A$5,($B$54/1000000*Diskontering!AI38),0)</f>
        <v>-4.001523599974209E-5</v>
      </c>
      <c r="AJ87" s="144">
        <f>IF(Diskontering!AJ16&lt;=Diskontering!$A$5,($B$54/1000000*Diskontering!AJ38),0)</f>
        <v>-3.943530504322409E-5</v>
      </c>
      <c r="AK87" s="144">
        <f>IF(Diskontering!AK16&lt;=Diskontering!$A$5,($B$54/1000000*Diskontering!AK38),0)</f>
        <v>-3.886377888317736E-5</v>
      </c>
      <c r="AL87" s="144">
        <f>IF(Diskontering!AL16&lt;=Diskontering!$A$5,($B$54/1000000*Diskontering!AL38),0)</f>
        <v>-3.8300535710957402E-5</v>
      </c>
      <c r="AM87" s="144">
        <f>IF(Diskontering!AM16&lt;=Diskontering!$A$5,($B$54/1000000*Diskontering!AM38),0)</f>
        <v>-3.774545548326238E-5</v>
      </c>
      <c r="AN87" s="144">
        <f>IF(Diskontering!AN16&lt;=Diskontering!$A$5,($B$54/1000000*Diskontering!AN38),0)</f>
        <v>-3.7198419896548431E-5</v>
      </c>
      <c r="AO87" s="144">
        <f>IF(Diskontering!AO16&lt;=Diskontering!$A$5,($B$54/1000000*Diskontering!AO38),0)</f>
        <v>-3.6659312361815852E-5</v>
      </c>
      <c r="AP87" s="144">
        <f>IF(Diskontering!AP16&lt;=Diskontering!$A$5,($B$54/1000000*Diskontering!AP38),0)</f>
        <v>-3.6128017979760554E-5</v>
      </c>
    </row>
    <row r="88" spans="1:112" x14ac:dyDescent="0.25">
      <c r="A88" t="s">
        <v>349</v>
      </c>
      <c r="B88" s="144">
        <f>B86+B87</f>
        <v>1.4145902566329891</v>
      </c>
      <c r="C88" s="144">
        <f t="shared" ref="C88:AP88" si="13">C86+C87</f>
        <v>1.3940889485658445</v>
      </c>
      <c r="D88" s="144">
        <f t="shared" si="13"/>
        <v>1.3738847609054698</v>
      </c>
      <c r="E88" s="144">
        <f t="shared" si="13"/>
        <v>1.3539733875590141</v>
      </c>
      <c r="F88" s="144">
        <f t="shared" si="13"/>
        <v>1.3343505848407675</v>
      </c>
      <c r="G88" s="144">
        <f t="shared" si="13"/>
        <v>1.3150121705677134</v>
      </c>
      <c r="H88" s="144">
        <f t="shared" si="13"/>
        <v>1.2959540231681812</v>
      </c>
      <c r="I88" s="144">
        <f t="shared" si="13"/>
        <v>1.277172080803425</v>
      </c>
      <c r="J88" s="144">
        <f t="shared" si="13"/>
        <v>1.2586623405019264</v>
      </c>
      <c r="K88" s="144">
        <f t="shared" si="13"/>
        <v>1.2404208573062463</v>
      </c>
      <c r="L88" s="144">
        <f t="shared" si="13"/>
        <v>1.222443743432243</v>
      </c>
      <c r="M88" s="144">
        <f t="shared" si="13"/>
        <v>1.2047271674404716</v>
      </c>
      <c r="N88" s="144">
        <f t="shared" si="13"/>
        <v>1.187267353419595</v>
      </c>
      <c r="O88" s="144">
        <f t="shared" si="13"/>
        <v>1.17006058018163</v>
      </c>
      <c r="P88" s="144">
        <f t="shared" si="13"/>
        <v>1.153103180468853</v>
      </c>
      <c r="Q88" s="144">
        <f t="shared" si="13"/>
        <v>1.1363915401722033</v>
      </c>
      <c r="R88" s="144">
        <f t="shared" si="13"/>
        <v>1.119922097561012</v>
      </c>
      <c r="S88" s="144">
        <f t="shared" si="13"/>
        <v>1.1036913425238959</v>
      </c>
      <c r="T88" s="144">
        <f t="shared" si="13"/>
        <v>1.0876958158206511</v>
      </c>
      <c r="U88" s="144">
        <f t="shared" si="13"/>
        <v>1.0719321083449895</v>
      </c>
      <c r="V88" s="144">
        <f t="shared" si="13"/>
        <v>1.056396860397961</v>
      </c>
      <c r="W88" s="144">
        <f t="shared" si="13"/>
        <v>1.0410867609719039</v>
      </c>
      <c r="X88" s="144">
        <f t="shared" si="13"/>
        <v>1.0259985470447748</v>
      </c>
      <c r="Y88" s="144">
        <f t="shared" si="13"/>
        <v>1.0111290028847055</v>
      </c>
      <c r="Z88" s="144">
        <f t="shared" si="13"/>
        <v>0.99647495936463759</v>
      </c>
      <c r="AA88" s="144">
        <f t="shared" si="13"/>
        <v>0.98203329328688915</v>
      </c>
      <c r="AB88" s="144">
        <f t="shared" si="13"/>
        <v>0.96780092671751394</v>
      </c>
      <c r="AC88" s="144">
        <f t="shared" si="13"/>
        <v>0.95377482633030375</v>
      </c>
      <c r="AD88" s="144">
        <f t="shared" si="13"/>
        <v>0.93995200276029944</v>
      </c>
      <c r="AE88" s="144">
        <f t="shared" si="13"/>
        <v>0.92632950996667207</v>
      </c>
      <c r="AF88" s="144">
        <f t="shared" si="13"/>
        <v>0.91290444460483633</v>
      </c>
      <c r="AG88" s="144">
        <f t="shared" si="13"/>
        <v>0.89967394540766488</v>
      </c>
      <c r="AH88" s="144">
        <f t="shared" si="13"/>
        <v>0.88663519257566992</v>
      </c>
      <c r="AI88" s="144">
        <f t="shared" si="13"/>
        <v>0.87378540717602249</v>
      </c>
      <c r="AJ88" s="144">
        <f t="shared" si="13"/>
        <v>0.86112185055028312</v>
      </c>
      <c r="AK88" s="144">
        <f t="shared" si="13"/>
        <v>0.84864182373071373</v>
      </c>
      <c r="AL88" s="144">
        <f t="shared" si="13"/>
        <v>0.83634266686505132</v>
      </c>
      <c r="AM88" s="144">
        <f t="shared" si="13"/>
        <v>0.824221758649616</v>
      </c>
      <c r="AN88" s="144">
        <f t="shared" si="13"/>
        <v>0.81227651577063609</v>
      </c>
      <c r="AO88" s="144">
        <f t="shared" si="13"/>
        <v>0.80050439235367055</v>
      </c>
      <c r="AP88" s="144">
        <f t="shared" si="13"/>
        <v>0.78890287942100867</v>
      </c>
    </row>
    <row r="89" spans="1:112" x14ac:dyDescent="0.25">
      <c r="AN89"/>
    </row>
    <row r="90" spans="1:112" x14ac:dyDescent="0.25">
      <c r="B90" s="1" t="s">
        <v>269</v>
      </c>
      <c r="C90" s="1" t="s">
        <v>269</v>
      </c>
      <c r="D90" s="1" t="s">
        <v>269</v>
      </c>
      <c r="E90" s="1" t="s">
        <v>269</v>
      </c>
      <c r="F90" s="1" t="s">
        <v>269</v>
      </c>
      <c r="G90" s="1" t="s">
        <v>269</v>
      </c>
      <c r="H90" s="1" t="s">
        <v>269</v>
      </c>
      <c r="I90" s="1" t="s">
        <v>269</v>
      </c>
      <c r="J90" s="1" t="s">
        <v>269</v>
      </c>
      <c r="K90" s="1" t="s">
        <v>269</v>
      </c>
      <c r="L90" s="1" t="s">
        <v>269</v>
      </c>
      <c r="M90" s="1" t="s">
        <v>269</v>
      </c>
      <c r="N90" s="1" t="s">
        <v>269</v>
      </c>
      <c r="O90" s="1" t="s">
        <v>269</v>
      </c>
      <c r="P90" s="1" t="s">
        <v>269</v>
      </c>
      <c r="Q90" s="1" t="s">
        <v>269</v>
      </c>
      <c r="R90" s="1" t="s">
        <v>269</v>
      </c>
      <c r="S90" s="1" t="s">
        <v>269</v>
      </c>
      <c r="T90" s="1" t="s">
        <v>269</v>
      </c>
      <c r="U90" s="1" t="s">
        <v>269</v>
      </c>
      <c r="V90" s="1" t="s">
        <v>269</v>
      </c>
      <c r="W90" s="1" t="s">
        <v>269</v>
      </c>
      <c r="X90" s="1" t="s">
        <v>269</v>
      </c>
      <c r="Y90" s="1" t="s">
        <v>269</v>
      </c>
      <c r="Z90" s="1" t="s">
        <v>269</v>
      </c>
      <c r="AA90" s="1" t="s">
        <v>269</v>
      </c>
      <c r="AB90" s="1" t="s">
        <v>269</v>
      </c>
      <c r="AC90" s="1" t="s">
        <v>269</v>
      </c>
      <c r="AD90" s="1" t="s">
        <v>269</v>
      </c>
      <c r="AE90" s="1" t="s">
        <v>269</v>
      </c>
      <c r="AF90" s="1" t="s">
        <v>269</v>
      </c>
      <c r="AG90" s="1" t="s">
        <v>269</v>
      </c>
      <c r="AH90" s="1" t="s">
        <v>269</v>
      </c>
      <c r="AI90" s="1" t="s">
        <v>269</v>
      </c>
      <c r="AJ90" s="1" t="s">
        <v>269</v>
      </c>
      <c r="AK90" s="1" t="s">
        <v>269</v>
      </c>
      <c r="AL90" s="1" t="s">
        <v>269</v>
      </c>
      <c r="AM90" s="1" t="s">
        <v>269</v>
      </c>
      <c r="AN90" s="1" t="s">
        <v>269</v>
      </c>
      <c r="AO90" s="1" t="s">
        <v>269</v>
      </c>
      <c r="AP90" s="1" t="s">
        <v>269</v>
      </c>
    </row>
    <row r="91" spans="1:112" s="222" customFormat="1" ht="12.75" x14ac:dyDescent="0.2">
      <c r="A91" s="222" t="s">
        <v>350</v>
      </c>
      <c r="B91" s="293">
        <f>B88</f>
        <v>1.4145902566329891</v>
      </c>
      <c r="C91" s="293">
        <f t="shared" ref="C91:AL91" si="14">B91+C88</f>
        <v>2.8086792051988336</v>
      </c>
      <c r="D91" s="293">
        <f t="shared" si="14"/>
        <v>4.1825639661043033</v>
      </c>
      <c r="E91" s="293">
        <f t="shared" si="14"/>
        <v>5.5365373536633173</v>
      </c>
      <c r="F91" s="293">
        <f t="shared" si="14"/>
        <v>6.8708879385040849</v>
      </c>
      <c r="G91" s="293">
        <f t="shared" si="14"/>
        <v>8.1859001090717989</v>
      </c>
      <c r="H91" s="293">
        <f t="shared" si="14"/>
        <v>9.481854132239981</v>
      </c>
      <c r="I91" s="293">
        <f t="shared" si="14"/>
        <v>10.759026213043406</v>
      </c>
      <c r="J91" s="293">
        <f t="shared" si="14"/>
        <v>12.017688553545332</v>
      </c>
      <c r="K91" s="293">
        <f t="shared" si="14"/>
        <v>13.258109410851578</v>
      </c>
      <c r="L91" s="293">
        <f t="shared" si="14"/>
        <v>14.480553154283822</v>
      </c>
      <c r="M91" s="293">
        <f t="shared" si="14"/>
        <v>15.685280321724294</v>
      </c>
      <c r="N91" s="293">
        <f t="shared" si="14"/>
        <v>16.872547675143888</v>
      </c>
      <c r="O91" s="293">
        <f t="shared" si="14"/>
        <v>18.042608255325518</v>
      </c>
      <c r="P91" s="293">
        <f t="shared" si="14"/>
        <v>19.195711435794372</v>
      </c>
      <c r="Q91" s="293">
        <f t="shared" si="14"/>
        <v>20.332102975966574</v>
      </c>
      <c r="R91" s="293">
        <f t="shared" si="14"/>
        <v>21.452025073527587</v>
      </c>
      <c r="S91" s="293">
        <f t="shared" si="14"/>
        <v>22.555716416051482</v>
      </c>
      <c r="T91" s="293">
        <f t="shared" si="14"/>
        <v>23.643412231872134</v>
      </c>
      <c r="U91" s="293">
        <f t="shared" si="14"/>
        <v>24.715344340217122</v>
      </c>
      <c r="V91" s="293">
        <f t="shared" si="14"/>
        <v>25.771741200615082</v>
      </c>
      <c r="W91" s="293">
        <f t="shared" si="14"/>
        <v>26.812827961586986</v>
      </c>
      <c r="X91" s="293">
        <f t="shared" si="14"/>
        <v>27.838826508631762</v>
      </c>
      <c r="Y91" s="293">
        <f t="shared" si="14"/>
        <v>28.849955511516466</v>
      </c>
      <c r="Z91" s="293">
        <f t="shared" si="14"/>
        <v>29.846430470881103</v>
      </c>
      <c r="AA91" s="293">
        <f t="shared" si="14"/>
        <v>30.828463764167992</v>
      </c>
      <c r="AB91" s="293">
        <f t="shared" si="14"/>
        <v>31.796264690885508</v>
      </c>
      <c r="AC91" s="293">
        <f t="shared" si="14"/>
        <v>32.750039517215811</v>
      </c>
      <c r="AD91" s="293">
        <f t="shared" si="14"/>
        <v>33.689991519976111</v>
      </c>
      <c r="AE91" s="293">
        <f t="shared" si="14"/>
        <v>34.616321029942782</v>
      </c>
      <c r="AF91" s="293">
        <f t="shared" si="14"/>
        <v>35.529225474547616</v>
      </c>
      <c r="AG91" s="293">
        <f t="shared" si="14"/>
        <v>36.428899419955279</v>
      </c>
      <c r="AH91" s="293">
        <f t="shared" si="14"/>
        <v>37.315534612530946</v>
      </c>
      <c r="AI91" s="293">
        <f t="shared" si="14"/>
        <v>38.189320019706969</v>
      </c>
      <c r="AJ91" s="293">
        <f t="shared" si="14"/>
        <v>39.050441870257252</v>
      </c>
      <c r="AK91" s="293">
        <f t="shared" si="14"/>
        <v>39.899083693987969</v>
      </c>
      <c r="AL91" s="293">
        <f t="shared" si="14"/>
        <v>40.735426360853019</v>
      </c>
      <c r="AM91" s="293">
        <f>AL91+AM88</f>
        <v>41.559648119502633</v>
      </c>
      <c r="AN91" s="293">
        <f>AM91+AN88</f>
        <v>42.371924635273267</v>
      </c>
      <c r="AO91" s="293">
        <f>AN91+AO88</f>
        <v>43.17242902762694</v>
      </c>
      <c r="AP91" s="293">
        <f>AO91+AP88</f>
        <v>43.961331907047949</v>
      </c>
      <c r="AW91" s="213"/>
      <c r="AY91" s="213"/>
      <c r="AZ91" s="213"/>
      <c r="BA91" s="213"/>
      <c r="BB91" s="213"/>
      <c r="BC91" s="213"/>
      <c r="BD91" s="213"/>
      <c r="BE91" s="213"/>
      <c r="BF91" s="213"/>
      <c r="BG91" s="213"/>
      <c r="BH91" s="213"/>
      <c r="BI91" s="213"/>
      <c r="BJ91" s="213"/>
      <c r="BK91" s="213"/>
      <c r="BL91" s="213"/>
      <c r="BM91" s="213"/>
      <c r="BQ91" s="213"/>
      <c r="BS91" s="213"/>
      <c r="BU91" s="287"/>
      <c r="BV91" s="287"/>
      <c r="BW91" s="213"/>
      <c r="BX91" s="213"/>
    </row>
    <row r="92" spans="1:112" x14ac:dyDescent="0.25">
      <c r="A92" s="143" t="s">
        <v>615</v>
      </c>
      <c r="AN92"/>
    </row>
    <row r="93" spans="1:112" s="26" customFormat="1" x14ac:dyDescent="0.25">
      <c r="A93" s="26" t="s">
        <v>351</v>
      </c>
      <c r="B93" s="40">
        <f>IF(Diskontering!B16&lt;=Diskontering!$A$5,(($B$60+$B$61+$B$62)*Diskontering!B38),0)</f>
        <v>1.0829804487665444</v>
      </c>
      <c r="C93" s="40">
        <f>IF(Diskontering!C16&lt;=Diskontering!$A$5,(($B$60+$B$61+$B$62)*Diskontering!C38),0)</f>
        <v>1.0672850799438409</v>
      </c>
      <c r="D93" s="40">
        <f>IF(Diskontering!D16&lt;=Diskontering!$A$5,(($B$60+$B$61+$B$62)*Diskontering!D38),0)</f>
        <v>1.05181718023451</v>
      </c>
      <c r="E93" s="40">
        <f>IF(Diskontering!E16&lt;=Diskontering!$A$5,(($B$60+$B$61+$B$62)*Diskontering!E38),0)</f>
        <v>1.0365734529847346</v>
      </c>
      <c r="F93" s="40">
        <f>IF(Diskontering!F16&lt;=Diskontering!$A$5,(($B$60+$B$61+$B$62)*Diskontering!F38),0)</f>
        <v>1.0215506493182893</v>
      </c>
      <c r="G93" s="40">
        <f>IF(Diskontering!G16&lt;=Diskontering!$A$5,(($B$60+$B$61+$B$62)*Diskontering!G38),0)</f>
        <v>1.0067455674441113</v>
      </c>
      <c r="H93" s="40">
        <f>IF(Diskontering!H16&lt;=Diskontering!$A$5,(($B$60+$B$61+$B$62)*Diskontering!H38),0)</f>
        <v>0.99215505197390697</v>
      </c>
      <c r="I93" s="40">
        <f>IF(Diskontering!I16&lt;=Diskontering!$A$5,(($B$60+$B$61+$B$62)*Diskontering!I38),0)</f>
        <v>0.97777599324964748</v>
      </c>
      <c r="J93" s="40">
        <f>IF(Diskontering!J16&lt;=Diskontering!$A$5,(($B$60+$B$61+$B$62)*Diskontering!J38),0)</f>
        <v>0.96360532668081211</v>
      </c>
      <c r="K93" s="40">
        <f>IF(Diskontering!K16&lt;=Diskontering!$A$5,(($B$60+$B$61+$B$62)*Diskontering!K38),0)</f>
        <v>0.94964003209123515</v>
      </c>
      <c r="L93" s="40">
        <f>IF(Diskontering!L16&lt;=Diskontering!$A$5,(($B$60+$B$61+$B$62)*Diskontering!L38),0)</f>
        <v>0.93587713307542031</v>
      </c>
      <c r="M93" s="40">
        <f>IF(Diskontering!M16&lt;=Diskontering!$A$5,(($B$60+$B$61+$B$62)*Diskontering!M38),0)</f>
        <v>0.92231369636418259</v>
      </c>
      <c r="N93" s="40">
        <f>IF(Diskontering!N16&lt;=Diskontering!$A$5,(($B$60+$B$61+$B$62)*Diskontering!N38),0)</f>
        <v>0.90894683119948405</v>
      </c>
      <c r="O93" s="40">
        <f>IF(Diskontering!O16&lt;=Diskontering!$A$5,(($B$60+$B$61+$B$62)*Diskontering!O38),0)</f>
        <v>0.89577368871833229</v>
      </c>
      <c r="P93" s="40">
        <f>IF(Diskontering!P16&lt;=Diskontering!$A$5,(($B$60+$B$61+$B$62)*Diskontering!P38),0)</f>
        <v>0.88279146134560305</v>
      </c>
      <c r="Q93" s="40">
        <f>IF(Diskontering!Q16&lt;=Diskontering!$A$5,(($B$60+$B$61+$B$62)*Diskontering!Q38),0)</f>
        <v>0.86999738219566691</v>
      </c>
      <c r="R93" s="40">
        <f>IF(Diskontering!R16&lt;=Diskontering!$A$5,(($B$60+$B$61+$B$62)*Diskontering!R38),0)</f>
        <v>0.85738872448268633</v>
      </c>
      <c r="S93" s="40">
        <f>IF(Diskontering!S16&lt;=Diskontering!$A$5,(($B$60+$B$61+$B$62)*Diskontering!S38),0)</f>
        <v>0.84496280093945886</v>
      </c>
      <c r="T93" s="40">
        <f>IF(Diskontering!T16&lt;=Diskontering!$A$5,(($B$60+$B$61+$B$62)*Diskontering!T38),0)</f>
        <v>0.83271696324468447</v>
      </c>
      <c r="U93" s="40">
        <f>IF(Diskontering!U16&lt;=Diskontering!$A$5,(($B$60+$B$61+$B$62)*Diskontering!U38),0)</f>
        <v>0.82064860145852958</v>
      </c>
      <c r="V93" s="40">
        <f>IF(Diskontering!V16&lt;=Diskontering!$A$5,(($B$60+$B$61+$B$62)*Diskontering!V38),0)</f>
        <v>0.80875514346637711</v>
      </c>
      <c r="W93" s="40">
        <f>IF(Diskontering!W16&lt;=Diskontering!$A$5,(($B$60+$B$61+$B$62)*Diskontering!W38),0)</f>
        <v>0.79703405443063269</v>
      </c>
      <c r="X93" s="40">
        <f>IF(Diskontering!X16&lt;=Diskontering!$A$5,(($B$60+$B$61+$B$62)*Diskontering!X38),0)</f>
        <v>0.78548283625047877</v>
      </c>
      <c r="Y93" s="40">
        <f>IF(Diskontering!Y16&lt;=Diskontering!$A$5,(($B$60+$B$61+$B$62)*Diskontering!Y38),0)</f>
        <v>0.77409902702945721</v>
      </c>
      <c r="Z93" s="40">
        <f>IF(Diskontering!Z16&lt;=Diskontering!$A$5,(($B$60+$B$61+$B$62)*Diskontering!Z38),0)</f>
        <v>0.76288020055076955</v>
      </c>
      <c r="AA93" s="40">
        <f>IF(Diskontering!AA16&lt;=Diskontering!$A$5,(($B$60+$B$61+$B$62)*Diskontering!AA38),0)</f>
        <v>0.75182396576017863</v>
      </c>
      <c r="AB93" s="40">
        <f>IF(Diskontering!AB16&lt;=Diskontering!$A$5,(($B$60+$B$61+$B$62)*Diskontering!AB38),0)</f>
        <v>0.74092796625640789</v>
      </c>
      <c r="AC93" s="40">
        <f>IF(Diskontering!AC16&lt;=Diskontering!$A$5,(($B$60+$B$61+$B$62)*Diskontering!AC38),0)</f>
        <v>0.73018987978892391</v>
      </c>
      <c r="AD93" s="40">
        <f>IF(Diskontering!AD16&lt;=Diskontering!$A$5,(($B$60+$B$61+$B$62)*Diskontering!AD38),0)</f>
        <v>0.71960741776299753</v>
      </c>
      <c r="AE93" s="40">
        <f>IF(Diskontering!AE16&lt;=Diskontering!$A$5,(($B$60+$B$61+$B$62)*Diskontering!AE38),0)</f>
        <v>0.70917832475193976</v>
      </c>
      <c r="AF93" s="40">
        <f>IF(Diskontering!AF16&lt;=Diskontering!$A$5,(($B$60+$B$61+$B$62)*Diskontering!AF38),0)</f>
        <v>0.69890037801640448</v>
      </c>
      <c r="AG93" s="40">
        <f>IF(Diskontering!AG16&lt;=Diskontering!$A$5,(($B$60+$B$61+$B$62)*Diskontering!AG38),0)</f>
        <v>0.68877138703065954</v>
      </c>
      <c r="AH93" s="40">
        <f>IF(Diskontering!AH16&lt;=Diskontering!$A$5,(($B$60+$B$61+$B$62)*Diskontering!AH38),0)</f>
        <v>0.6787891930157226</v>
      </c>
      <c r="AI93" s="40">
        <f>IF(Diskontering!AI16&lt;=Diskontering!$A$5,(($B$60+$B$61+$B$62)*Diskontering!AI38),0)</f>
        <v>0.6689516684792628</v>
      </c>
      <c r="AJ93" s="40">
        <f>IF(Diskontering!AJ16&lt;=Diskontering!$A$5,(($B$60+$B$61+$B$62)*Diskontering!AJ38),0)</f>
        <v>0.65925671676217212</v>
      </c>
      <c r="AK93" s="40">
        <f>IF(Diskontering!AK16&lt;=Diskontering!$A$5,(($B$60+$B$61+$B$62)*Diskontering!AK38),0)</f>
        <v>0.64970227159170579</v>
      </c>
      <c r="AL93" s="40">
        <f>IF(Diskontering!AL16&lt;=Diskontering!$A$5,(($B$60+$B$61+$B$62)*Diskontering!AL38),0)</f>
        <v>0.64028629664110137</v>
      </c>
      <c r="AM93" s="40">
        <f>IF(Diskontering!AM16&lt;=Diskontering!$A$5,(($B$60+$B$61+$B$62)*Diskontering!AM38),0)</f>
        <v>0.63100678509557839</v>
      </c>
      <c r="AN93" s="40">
        <f>IF(Diskontering!AN16&lt;=Diskontering!$A$5,(($B$60+$B$61+$B$62)*Diskontering!AN38),0)</f>
        <v>0.62186175922462805</v>
      </c>
      <c r="AO93" s="40">
        <f>IF(Diskontering!AO16&lt;=Diskontering!$A$5,(($B$60+$B$61+$B$62)*Diskontering!AO38),0)</f>
        <v>0.61284926996050304</v>
      </c>
      <c r="AP93" s="40">
        <f>IF(Diskontering!AP16&lt;=Diskontering!$A$5,(($B$60+$B$61+$B$62)*Diskontering!AP38),0)</f>
        <v>0.60396739648281472</v>
      </c>
      <c r="AW93" s="40"/>
      <c r="AY93" s="40"/>
      <c r="AZ93" s="40"/>
      <c r="BA93" s="40"/>
      <c r="BB93" s="40"/>
      <c r="BC93" s="40"/>
      <c r="BD93" s="40"/>
      <c r="BE93" s="40"/>
      <c r="BF93" s="40"/>
      <c r="BG93" s="40"/>
      <c r="BH93" s="40"/>
      <c r="BI93" s="40"/>
      <c r="BJ93" s="40"/>
      <c r="BK93" s="40"/>
      <c r="BL93" s="40"/>
      <c r="BM93" s="40"/>
      <c r="BQ93" s="40"/>
      <c r="BS93" s="40"/>
      <c r="BU93" s="40"/>
      <c r="BV93" s="40"/>
      <c r="BW93" s="40"/>
      <c r="BX93" s="40"/>
    </row>
    <row r="94" spans="1:112" s="295" customFormat="1" ht="12.75" x14ac:dyDescent="0.2">
      <c r="A94" s="294" t="s">
        <v>352</v>
      </c>
      <c r="B94" s="217">
        <f>(($B$60*'Kalkylvärden 1'!$C$184+$B$61*'Kalkylvärden 1'!$C$186+$B$62*'Kalkylvärden 1'!$C$188)*Diskontering!B41)</f>
        <v>2.2980448766544238E-2</v>
      </c>
      <c r="C94" s="217">
        <f>(($B$60*'Kalkylvärden 1'!$C$184+$B$61*'Kalkylvärden 1'!$C$186+$B$62*'Kalkylvärden 1'!$C$188)*Diskontering!C41)</f>
        <v>2.2980448766544238E-2</v>
      </c>
      <c r="D94" s="217">
        <f>(($B$60*'Kalkylvärden 1'!$C$184+$B$61*'Kalkylvärden 1'!$C$186+$B$62*'Kalkylvärden 1'!$C$188)*Diskontering!D41)</f>
        <v>2.2647398784420406E-2</v>
      </c>
      <c r="E94" s="217">
        <f>(($B$60*'Kalkylvärden 1'!$C$184+$B$61*'Kalkylvärden 1'!$C$186+$B$62*'Kalkylvärden 1'!$C$188)*Diskontering!E41)</f>
        <v>2.2319175613631712E-2</v>
      </c>
      <c r="F94" s="217">
        <f>(($B$60*'Kalkylvärden 1'!$C$184+$B$61*'Kalkylvärden 1'!$C$186+$B$62*'Kalkylvärden 1'!$C$188)*Diskontering!F41)</f>
        <v>2.1995709300390669E-2</v>
      </c>
      <c r="G94" s="217">
        <f>(($B$60*'Kalkylvärden 1'!$C$184+$B$61*'Kalkylvärden 1'!$C$186+$B$62*'Kalkylvärden 1'!$C$188)*Diskontering!G41)</f>
        <v>2.1676930904732838E-2</v>
      </c>
      <c r="H94" s="217">
        <f>(($B$60*'Kalkylvärden 1'!$C$184+$B$61*'Kalkylvärden 1'!$C$186+$B$62*'Kalkylvärden 1'!$C$188)*Diskontering!H41)</f>
        <v>2.1362772485823672E-2</v>
      </c>
      <c r="I94" s="217">
        <f>(($B$60*'Kalkylvärden 1'!$C$184+$B$61*'Kalkylvärden 1'!$C$186+$B$62*'Kalkylvärden 1'!$C$188)*Diskontering!I41)</f>
        <v>2.1053167087478404E-2</v>
      </c>
      <c r="J94" s="217">
        <f>(($B$60*'Kalkylvärden 1'!$C$184+$B$61*'Kalkylvärden 1'!$C$186+$B$62*'Kalkylvärden 1'!$C$188)*Diskontering!J41)</f>
        <v>2.0748048723891757E-2</v>
      </c>
      <c r="K94" s="217">
        <f>(($B$60*'Kalkylvärden 1'!$C$184+$B$61*'Kalkylvärden 1'!$C$186+$B$62*'Kalkylvärden 1'!$C$188)*Diskontering!K41)</f>
        <v>2.0447352365574493E-2</v>
      </c>
      <c r="L94" s="217">
        <f>(($B$60*'Kalkylvärden 1'!$C$184+$B$61*'Kalkylvärden 1'!$C$186+$B$62*'Kalkylvärden 1'!$C$188)*Diskontering!L41)</f>
        <v>2.0151013925493705E-2</v>
      </c>
      <c r="M94" s="217">
        <f>(($B$60*'Kalkylvärden 1'!$C$184+$B$61*'Kalkylvärden 1'!$C$186+$B$62*'Kalkylvärden 1'!$C$188)*Diskontering!M41)</f>
        <v>1.9858970245414088E-2</v>
      </c>
      <c r="N94" s="217">
        <f>(($B$60*'Kalkylvärden 1'!$C$184+$B$61*'Kalkylvärden 1'!$C$186+$B$62*'Kalkylvärden 1'!$C$188)*Diskontering!N41)</f>
        <v>1.9571159082437072E-2</v>
      </c>
      <c r="O94" s="217">
        <f>(($B$60*'Kalkylvärden 1'!$C$184+$B$61*'Kalkylvärden 1'!$C$186+$B$62*'Kalkylvärden 1'!$C$188)*Diskontering!O41)</f>
        <v>1.9287519095735086E-2</v>
      </c>
      <c r="P94" s="217">
        <f>(($B$60*'Kalkylvärden 1'!$C$184+$B$61*'Kalkylvärden 1'!$C$186+$B$62*'Kalkylvärden 1'!$C$188)*Diskontering!P41)</f>
        <v>1.900798983347806E-2</v>
      </c>
      <c r="Q94" s="217">
        <f>(($B$60*'Kalkylvärden 1'!$C$184+$B$61*'Kalkylvärden 1'!$C$186+$B$62*'Kalkylvärden 1'!$C$188)*Diskontering!Q41)</f>
        <v>1.8732511719949396E-2</v>
      </c>
      <c r="R94" s="217">
        <f>(($B$60*'Kalkylvärden 1'!$C$184+$B$61*'Kalkylvärden 1'!$C$186+$B$62*'Kalkylvärden 1'!$C$188)*Diskontering!R41)</f>
        <v>1.8461026042848681E-2</v>
      </c>
      <c r="S94" s="217">
        <f>(($B$60*'Kalkylvärden 1'!$C$184+$B$61*'Kalkylvärden 1'!$C$186+$B$62*'Kalkylvärden 1'!$C$188)*Diskontering!S41)</f>
        <v>1.8193474940778408E-2</v>
      </c>
      <c r="T94" s="217">
        <f>(($B$60*'Kalkylvärden 1'!$C$184+$B$61*'Kalkylvärden 1'!$C$186+$B$62*'Kalkylvärden 1'!$C$188)*Diskontering!T41)</f>
        <v>1.7929801390912062E-2</v>
      </c>
      <c r="U94" s="217">
        <f>(($B$60*'Kalkylvärden 1'!$C$184+$B$61*'Kalkylvärden 1'!$C$186+$B$62*'Kalkylvärden 1'!$C$188)*Diskontering!U41)</f>
        <v>1.7669949196840874E-2</v>
      </c>
      <c r="V94" s="217">
        <f>(($B$60*'Kalkylvärden 1'!$C$184+$B$61*'Kalkylvärden 1'!$C$186+$B$62*'Kalkylvärden 1'!$C$188)*Diskontering!V41)</f>
        <v>1.7413862976596802E-2</v>
      </c>
      <c r="W94" s="217">
        <f>(($B$60*'Kalkylvärden 1'!$C$184+$B$61*'Kalkylvärden 1'!$C$186+$B$62*'Kalkylvärden 1'!$C$188)*Diskontering!W41)</f>
        <v>1.7161488150849027E-2</v>
      </c>
      <c r="X94" s="217">
        <f>(($B$60*'Kalkylvärden 1'!$C$184+$B$61*'Kalkylvärden 1'!$C$186+$B$62*'Kalkylvärden 1'!$C$188)*Diskontering!X41)</f>
        <v>1.6912770931271508E-2</v>
      </c>
      <c r="Y94" s="217">
        <f>(($B$60*'Kalkylvärden 1'!$C$184+$B$61*'Kalkylvärden 1'!$C$186+$B$62*'Kalkylvärden 1'!$C$188)*Diskontering!Y41)</f>
        <v>1.666765830907917E-2</v>
      </c>
      <c r="Z94" s="217">
        <f>(($B$60*'Kalkylvärden 1'!$C$184+$B$61*'Kalkylvärden 1'!$C$186+$B$62*'Kalkylvärden 1'!$C$188)*Diskontering!Z41)</f>
        <v>1.6426098043730197E-2</v>
      </c>
      <c r="AA94" s="217">
        <f>(($B$60*'Kalkylvärden 1'!$C$184+$B$61*'Kalkylvärden 1'!$C$186+$B$62*'Kalkylvärden 1'!$C$188)*Diskontering!AA41)</f>
        <v>1.6188038651792077E-2</v>
      </c>
      <c r="AB94" s="217">
        <f>(($B$60*'Kalkylvärden 1'!$C$184+$B$61*'Kalkylvärden 1'!$C$186+$B$62*'Kalkylvärden 1'!$C$188)*Diskontering!AB41)</f>
        <v>1.5953429395969006E-2</v>
      </c>
      <c r="AC94" s="217">
        <f>(($B$60*'Kalkylvärden 1'!$C$184+$B$61*'Kalkylvärden 1'!$C$186+$B$62*'Kalkylvärden 1'!$C$188)*Diskontering!AC41)</f>
        <v>1.5722220274288295E-2</v>
      </c>
      <c r="AD94" s="217">
        <f>(($B$60*'Kalkylvärden 1'!$C$184+$B$61*'Kalkylvärden 1'!$C$186+$B$62*'Kalkylvärden 1'!$C$188)*Diskontering!AD41)</f>
        <v>1.5494362009443539E-2</v>
      </c>
      <c r="AE94" s="217">
        <f>(($B$60*'Kalkylvärden 1'!$C$184+$B$61*'Kalkylvärden 1'!$C$186+$B$62*'Kalkylvärden 1'!$C$188)*Diskontering!AE41)</f>
        <v>1.5269806038292186E-2</v>
      </c>
      <c r="AF94" s="217">
        <f>(($B$60*'Kalkylvärden 1'!$C$184+$B$61*'Kalkylvärden 1'!$C$186+$B$62*'Kalkylvärden 1'!$C$188)*Diskontering!AF41)</f>
        <v>1.5048504501505345E-2</v>
      </c>
      <c r="AG94" s="217">
        <f>(($B$60*'Kalkylvärden 1'!$C$184+$B$61*'Kalkylvärden 1'!$C$186+$B$62*'Kalkylvärden 1'!$C$188)*Diskontering!AG41)</f>
        <v>1.4830410233367588E-2</v>
      </c>
      <c r="AH94" s="217">
        <f>(($B$60*'Kalkylvärden 1'!$C$184+$B$61*'Kalkylvärden 1'!$C$186+$B$62*'Kalkylvärden 1'!$C$188)*Diskontering!AH41)</f>
        <v>1.4615476751724581E-2</v>
      </c>
      <c r="AI94" s="217">
        <f>(($B$60*'Kalkylvärden 1'!$C$184+$B$61*'Kalkylvärden 1'!$C$186+$B$62*'Kalkylvärden 1'!$C$188)*Diskontering!AI41)</f>
        <v>1.4403658248076399E-2</v>
      </c>
      <c r="AJ94" s="217">
        <f>(($B$60*'Kalkylvärden 1'!$C$184+$B$61*'Kalkylvärden 1'!$C$186+$B$62*'Kalkylvärden 1'!$C$188)*Diskontering!AJ41)</f>
        <v>1.4194909577814423E-2</v>
      </c>
      <c r="AK94" s="217">
        <f>(($B$60*'Kalkylvärden 1'!$C$184+$B$61*'Kalkylvärden 1'!$C$186+$B$62*'Kalkylvärden 1'!$C$188)*Diskontering!AK41)</f>
        <v>1.3989186250599724E-2</v>
      </c>
      <c r="AL94" s="217">
        <f>(($B$60*'Kalkylvärden 1'!$C$184+$B$61*'Kalkylvärden 1'!$C$186+$B$62*'Kalkylvärden 1'!$C$188)*Diskontering!AL41)</f>
        <v>1.3786444420880889E-2</v>
      </c>
      <c r="AM94" s="217">
        <f>(($B$60*'Kalkylvärden 1'!$C$184+$B$61*'Kalkylvärden 1'!$C$186+$B$62*'Kalkylvärden 1'!$C$188)*Diskontering!AM41)</f>
        <v>1.3586640878549281E-2</v>
      </c>
      <c r="AN94" s="217">
        <f>(($B$60*'Kalkylvärden 1'!$C$184+$B$61*'Kalkylvärden 1'!$C$186+$B$62*'Kalkylvärden 1'!$C$188)*Diskontering!AN41)</f>
        <v>1.3389733039729729E-2</v>
      </c>
      <c r="AO94" s="217">
        <f>(($B$60*'Kalkylvärden 1'!$C$184+$B$61*'Kalkylvärden 1'!$C$186+$B$62*'Kalkylvärden 1'!$C$188)*Diskontering!AO41)</f>
        <v>1.3195678937704663E-2</v>
      </c>
      <c r="AP94" s="217">
        <f>(($B$60*'Kalkylvärden 1'!$C$184+$B$61*'Kalkylvärden 1'!$C$186+$B$62*'Kalkylvärden 1'!$C$188)*Diskontering!AP41)</f>
        <v>1.3004437213969815E-2</v>
      </c>
      <c r="AW94" s="217"/>
      <c r="AY94" s="217"/>
      <c r="AZ94" s="217"/>
      <c r="BA94" s="217"/>
      <c r="BB94" s="217"/>
      <c r="BC94" s="217"/>
      <c r="BD94" s="217"/>
      <c r="BE94" s="217"/>
      <c r="BF94" s="217"/>
      <c r="BG94" s="217"/>
      <c r="BH94" s="217"/>
      <c r="BI94" s="217"/>
      <c r="BJ94" s="217"/>
      <c r="BK94" s="217"/>
      <c r="BL94" s="217"/>
      <c r="BM94" s="217"/>
      <c r="BQ94" s="217"/>
      <c r="BS94" s="217"/>
      <c r="BU94" s="217"/>
      <c r="BV94" s="217"/>
      <c r="BW94" s="217"/>
      <c r="BX94" s="217"/>
    </row>
    <row r="95" spans="1:112" s="295" customFormat="1" ht="12.75" x14ac:dyDescent="0.2">
      <c r="A95" s="294" t="s">
        <v>353</v>
      </c>
      <c r="B95" s="217">
        <f>(($B$60*'Kalkylvärden 1'!$C$184+$B$61*'Kalkylvärden 1'!$C$186+$B$62*'Kalkylvärden 1'!$C$188)*Diskontering!B38)</f>
        <v>2.2980448766544238E-2</v>
      </c>
      <c r="C95" s="217">
        <f>(($B$60*'Kalkylvärden 1'!$C$184+$B$61*'Kalkylvärden 1'!$C$186+$B$62*'Kalkylvärden 1'!$C$188)*Diskontering!C38)</f>
        <v>2.264739878442041E-2</v>
      </c>
      <c r="D95" s="217">
        <f>(($B$60*'Kalkylvärden 1'!$C$184+$B$61*'Kalkylvärden 1'!$C$186+$B$62*'Kalkylvärden 1'!$C$188)*Diskontering!D38)</f>
        <v>2.2319175613631708E-2</v>
      </c>
      <c r="E95" s="217">
        <f>(($B$60*'Kalkylvärden 1'!$C$184+$B$61*'Kalkylvärden 1'!$C$186+$B$62*'Kalkylvärden 1'!$C$188)*Diskontering!E38)</f>
        <v>2.1995709300390673E-2</v>
      </c>
      <c r="F95" s="217">
        <f>(($B$60*'Kalkylvärden 1'!$C$184+$B$61*'Kalkylvärden 1'!$C$186+$B$62*'Kalkylvärden 1'!$C$188)*Diskontering!F38)</f>
        <v>2.1676930904732838E-2</v>
      </c>
      <c r="G95" s="217">
        <f>(($B$60*'Kalkylvärden 1'!$C$184+$B$61*'Kalkylvärden 1'!$C$186+$B$62*'Kalkylvärden 1'!$C$188)*Diskontering!G38)</f>
        <v>2.1362772485823672E-2</v>
      </c>
      <c r="H95" s="217">
        <f>(($B$60*'Kalkylvärden 1'!$C$184+$B$61*'Kalkylvärden 1'!$C$186+$B$62*'Kalkylvärden 1'!$C$188)*Diskontering!H38)</f>
        <v>2.1053167087478404E-2</v>
      </c>
      <c r="I95" s="217">
        <f>(($B$60*'Kalkylvärden 1'!$C$184+$B$61*'Kalkylvärden 1'!$C$186+$B$62*'Kalkylvärden 1'!$C$188)*Diskontering!I38)</f>
        <v>2.0748048723891761E-2</v>
      </c>
      <c r="J95" s="217">
        <f>(($B$60*'Kalkylvärden 1'!$C$184+$B$61*'Kalkylvärden 1'!$C$186+$B$62*'Kalkylvärden 1'!$C$188)*Diskontering!J38)</f>
        <v>2.0447352365574493E-2</v>
      </c>
      <c r="K95" s="217">
        <f>(($B$60*'Kalkylvärden 1'!$C$184+$B$61*'Kalkylvärden 1'!$C$186+$B$62*'Kalkylvärden 1'!$C$188)*Diskontering!K38)</f>
        <v>2.0151013925493701E-2</v>
      </c>
      <c r="L95" s="217">
        <f>(($B$60*'Kalkylvärden 1'!$C$184+$B$61*'Kalkylvärden 1'!$C$186+$B$62*'Kalkylvärden 1'!$C$188)*Diskontering!L38)</f>
        <v>1.9858970245414088E-2</v>
      </c>
      <c r="M95" s="217">
        <f>(($B$60*'Kalkylvärden 1'!$C$184+$B$61*'Kalkylvärden 1'!$C$186+$B$62*'Kalkylvärden 1'!$C$188)*Diskontering!M38)</f>
        <v>1.9571159082437076E-2</v>
      </c>
      <c r="N95" s="217">
        <f>(($B$60*'Kalkylvärden 1'!$C$184+$B$61*'Kalkylvärden 1'!$C$186+$B$62*'Kalkylvärden 1'!$C$188)*Diskontering!N38)</f>
        <v>1.9287519095735086E-2</v>
      </c>
      <c r="O95" s="217">
        <f>(($B$60*'Kalkylvärden 1'!$C$184+$B$61*'Kalkylvärden 1'!$C$186+$B$62*'Kalkylvärden 1'!$C$188)*Diskontering!O38)</f>
        <v>1.9007989833478057E-2</v>
      </c>
      <c r="P95" s="217">
        <f>(($B$60*'Kalkylvärden 1'!$C$184+$B$61*'Kalkylvärden 1'!$C$186+$B$62*'Kalkylvärden 1'!$C$188)*Diskontering!P38)</f>
        <v>1.8732511719949396E-2</v>
      </c>
      <c r="Q95" s="217">
        <f>(($B$60*'Kalkylvärden 1'!$C$184+$B$61*'Kalkylvärden 1'!$C$186+$B$62*'Kalkylvärden 1'!$C$188)*Diskontering!Q38)</f>
        <v>1.8461026042848681E-2</v>
      </c>
      <c r="R95" s="217">
        <f>(($B$60*'Kalkylvärden 1'!$C$184+$B$61*'Kalkylvärden 1'!$C$186+$B$62*'Kalkylvärden 1'!$C$188)*Diskontering!R38)</f>
        <v>1.8193474940778415E-2</v>
      </c>
      <c r="S95" s="217">
        <f>(($B$60*'Kalkylvärden 1'!$C$184+$B$61*'Kalkylvärden 1'!$C$186+$B$62*'Kalkylvärden 1'!$C$188)*Diskontering!S38)</f>
        <v>1.7929801390912058E-2</v>
      </c>
      <c r="T95" s="217">
        <f>(($B$60*'Kalkylvärden 1'!$C$184+$B$61*'Kalkylvärden 1'!$C$186+$B$62*'Kalkylvärden 1'!$C$188)*Diskontering!T38)</f>
        <v>1.7669949196840874E-2</v>
      </c>
      <c r="U95" s="217">
        <f>(($B$60*'Kalkylvärden 1'!$C$184+$B$61*'Kalkylvärden 1'!$C$186+$B$62*'Kalkylvärden 1'!$C$188)*Diskontering!U38)</f>
        <v>1.7413862976596802E-2</v>
      </c>
      <c r="V95" s="217">
        <f>(($B$60*'Kalkylvärden 1'!$C$184+$B$61*'Kalkylvärden 1'!$C$186+$B$62*'Kalkylvärden 1'!$C$188)*Diskontering!V38)</f>
        <v>1.7161488150849027E-2</v>
      </c>
      <c r="W95" s="217">
        <f>(($B$60*'Kalkylvärden 1'!$C$184+$B$61*'Kalkylvärden 1'!$C$186+$B$62*'Kalkylvärden 1'!$C$188)*Diskontering!W38)</f>
        <v>1.6912770931271508E-2</v>
      </c>
      <c r="X95" s="217">
        <f>(($B$60*'Kalkylvärden 1'!$C$184+$B$61*'Kalkylvärden 1'!$C$186+$B$62*'Kalkylvärden 1'!$C$188)*Diskontering!X38)</f>
        <v>1.666765830907917E-2</v>
      </c>
      <c r="Y95" s="217">
        <f>(($B$60*'Kalkylvärden 1'!$C$184+$B$61*'Kalkylvärden 1'!$C$186+$B$62*'Kalkylvärden 1'!$C$188)*Diskontering!Y38)</f>
        <v>1.6426098043730197E-2</v>
      </c>
      <c r="Z95" s="217">
        <f>(($B$60*'Kalkylvärden 1'!$C$184+$B$61*'Kalkylvärden 1'!$C$186+$B$62*'Kalkylvärden 1'!$C$188)*Diskontering!Z38)</f>
        <v>1.6188038651792077E-2</v>
      </c>
      <c r="AA95" s="217">
        <f>(($B$60*'Kalkylvärden 1'!$C$184+$B$61*'Kalkylvärden 1'!$C$186+$B$62*'Kalkylvärden 1'!$C$188)*Diskontering!AA38)</f>
        <v>1.5953429395969006E-2</v>
      </c>
      <c r="AB95" s="217">
        <f>(($B$60*'Kalkylvärden 1'!$C$184+$B$61*'Kalkylvärden 1'!$C$186+$B$62*'Kalkylvärden 1'!$C$188)*Diskontering!AB38)</f>
        <v>1.5722220274288295E-2</v>
      </c>
      <c r="AC95" s="217">
        <f>(($B$60*'Kalkylvärden 1'!$C$184+$B$61*'Kalkylvärden 1'!$C$186+$B$62*'Kalkylvärden 1'!$C$188)*Diskontering!AC38)</f>
        <v>1.5494362009443541E-2</v>
      </c>
      <c r="AD95" s="217">
        <f>(($B$60*'Kalkylvärden 1'!$C$184+$B$61*'Kalkylvärden 1'!$C$186+$B$62*'Kalkylvärden 1'!$C$188)*Diskontering!AD38)</f>
        <v>1.5269806038292186E-2</v>
      </c>
      <c r="AE95" s="217">
        <f>(($B$60*'Kalkylvärden 1'!$C$184+$B$61*'Kalkylvärden 1'!$C$186+$B$62*'Kalkylvärden 1'!$C$188)*Diskontering!AE38)</f>
        <v>1.5048504501505345E-2</v>
      </c>
      <c r="AF95" s="217">
        <f>(($B$60*'Kalkylvärden 1'!$C$184+$B$61*'Kalkylvärden 1'!$C$186+$B$62*'Kalkylvärden 1'!$C$188)*Diskontering!AF38)</f>
        <v>1.4830410233367588E-2</v>
      </c>
      <c r="AG95" s="217">
        <f>(($B$60*'Kalkylvärden 1'!$C$184+$B$61*'Kalkylvärden 1'!$C$186+$B$62*'Kalkylvärden 1'!$C$188)*Diskontering!AG38)</f>
        <v>1.4615476751724581E-2</v>
      </c>
      <c r="AH95" s="217">
        <f>(($B$60*'Kalkylvärden 1'!$C$184+$B$61*'Kalkylvärden 1'!$C$186+$B$62*'Kalkylvärden 1'!$C$188)*Diskontering!AH38)</f>
        <v>1.4403658248076401E-2</v>
      </c>
      <c r="AI95" s="217">
        <f>(($B$60*'Kalkylvärden 1'!$C$184+$B$61*'Kalkylvärden 1'!$C$186+$B$62*'Kalkylvärden 1'!$C$188)*Diskontering!AI38)</f>
        <v>1.4194909577814423E-2</v>
      </c>
      <c r="AJ95" s="217">
        <f>(($B$60*'Kalkylvärden 1'!$C$184+$B$61*'Kalkylvärden 1'!$C$186+$B$62*'Kalkylvärden 1'!$C$188)*Diskontering!AJ38)</f>
        <v>1.3989186250599724E-2</v>
      </c>
      <c r="AK95" s="217">
        <f>(($B$60*'Kalkylvärden 1'!$C$184+$B$61*'Kalkylvärden 1'!$C$186+$B$62*'Kalkylvärden 1'!$C$188)*Diskontering!AK38)</f>
        <v>1.3786444420880886E-2</v>
      </c>
      <c r="AL95" s="217">
        <f>(($B$60*'Kalkylvärden 1'!$C$184+$B$61*'Kalkylvärden 1'!$C$186+$B$62*'Kalkylvärden 1'!$C$188)*Diskontering!AL38)</f>
        <v>1.3586640878549281E-2</v>
      </c>
      <c r="AM95" s="217">
        <f>(($B$60*'Kalkylvärden 1'!$C$184+$B$61*'Kalkylvärden 1'!$C$186+$B$62*'Kalkylvärden 1'!$C$188)*Diskontering!AM38)</f>
        <v>1.3389733039729729E-2</v>
      </c>
      <c r="AN95" s="217">
        <f>(($B$60*'Kalkylvärden 1'!$C$184+$B$61*'Kalkylvärden 1'!$C$186+$B$62*'Kalkylvärden 1'!$C$188)*Diskontering!AN38)</f>
        <v>1.3195678937704663E-2</v>
      </c>
      <c r="AO95" s="217">
        <f>(($B$60*'Kalkylvärden 1'!$C$184+$B$61*'Kalkylvärden 1'!$C$186+$B$62*'Kalkylvärden 1'!$C$188)*Diskontering!AO38)</f>
        <v>1.3004437213969815E-2</v>
      </c>
      <c r="AP95" s="217">
        <f>(($B$60*'Kalkylvärden 1'!$C$184+$B$61*'Kalkylvärden 1'!$C$186+$B$62*'Kalkylvärden 1'!$C$188)*Diskontering!AP38)</f>
        <v>1.2815967109419528E-2</v>
      </c>
      <c r="AW95" s="217"/>
      <c r="AY95" s="217"/>
      <c r="AZ95" s="217"/>
      <c r="BA95" s="217"/>
      <c r="BB95" s="217"/>
      <c r="BC95" s="217"/>
      <c r="BD95" s="217"/>
      <c r="BE95" s="217"/>
      <c r="BF95" s="217"/>
      <c r="BG95" s="217"/>
      <c r="BH95" s="217"/>
      <c r="BI95" s="217"/>
      <c r="BJ95" s="217"/>
      <c r="BK95" s="217"/>
      <c r="BL95" s="217"/>
      <c r="BM95" s="217"/>
      <c r="BQ95" s="217"/>
      <c r="BS95" s="217"/>
      <c r="BU95" s="217"/>
      <c r="BV95" s="217"/>
      <c r="BW95" s="217"/>
      <c r="BX95" s="217"/>
    </row>
    <row r="96" spans="1:112" s="26" customFormat="1" x14ac:dyDescent="0.25">
      <c r="A96" s="296" t="s">
        <v>354</v>
      </c>
      <c r="B96" s="40">
        <f>B94-B95</f>
        <v>0</v>
      </c>
      <c r="C96" s="40">
        <f t="shared" ref="C96:AP96" si="15">C94-C95</f>
        <v>3.3304998212382864E-4</v>
      </c>
      <c r="D96" s="40">
        <f t="shared" si="15"/>
        <v>3.2822317078869817E-4</v>
      </c>
      <c r="E96" s="40">
        <f t="shared" si="15"/>
        <v>3.2346631324103869E-4</v>
      </c>
      <c r="F96" s="40">
        <f t="shared" si="15"/>
        <v>3.1877839565783161E-4</v>
      </c>
      <c r="G96" s="40">
        <f t="shared" si="15"/>
        <v>3.1415841890916618E-4</v>
      </c>
      <c r="H96" s="40">
        <f t="shared" si="15"/>
        <v>3.0960539834526749E-4</v>
      </c>
      <c r="I96" s="40">
        <f t="shared" si="15"/>
        <v>3.0511836358664349E-4</v>
      </c>
      <c r="J96" s="40">
        <f t="shared" si="15"/>
        <v>3.0069635831726435E-4</v>
      </c>
      <c r="K96" s="40">
        <f t="shared" si="15"/>
        <v>2.9633844008079141E-4</v>
      </c>
      <c r="L96" s="40">
        <f t="shared" si="15"/>
        <v>2.920436800796164E-4</v>
      </c>
      <c r="M96" s="40">
        <f t="shared" si="15"/>
        <v>2.8781116297701276E-4</v>
      </c>
      <c r="N96" s="40">
        <f t="shared" si="15"/>
        <v>2.836399867019862E-4</v>
      </c>
      <c r="O96" s="40">
        <f t="shared" si="15"/>
        <v>2.7952926225702918E-4</v>
      </c>
      <c r="P96" s="40">
        <f t="shared" si="15"/>
        <v>2.7547811352866478E-4</v>
      </c>
      <c r="Q96" s="40">
        <f t="shared" si="15"/>
        <v>2.7148567710071417E-4</v>
      </c>
      <c r="R96" s="40">
        <f t="shared" si="15"/>
        <v>2.6755110207026672E-4</v>
      </c>
      <c r="S96" s="40">
        <f t="shared" si="15"/>
        <v>2.6367354986634936E-4</v>
      </c>
      <c r="T96" s="40">
        <f t="shared" si="15"/>
        <v>2.5985219407118759E-4</v>
      </c>
      <c r="U96" s="40">
        <f t="shared" si="15"/>
        <v>2.560862202440721E-4</v>
      </c>
      <c r="V96" s="40">
        <f t="shared" si="15"/>
        <v>2.5237482574777537E-4</v>
      </c>
      <c r="W96" s="40">
        <f t="shared" si="15"/>
        <v>2.4871721957751836E-4</v>
      </c>
      <c r="X96" s="40">
        <f t="shared" si="15"/>
        <v>2.4511262219233804E-4</v>
      </c>
      <c r="Y96" s="40">
        <f t="shared" si="15"/>
        <v>2.4156026534897374E-4</v>
      </c>
      <c r="Z96" s="40">
        <f t="shared" si="15"/>
        <v>2.3805939193811965E-4</v>
      </c>
      <c r="AA96" s="40">
        <f t="shared" si="15"/>
        <v>2.3460925582307127E-4</v>
      </c>
      <c r="AB96" s="40">
        <f t="shared" si="15"/>
        <v>2.3120912168071023E-4</v>
      </c>
      <c r="AC96" s="40">
        <f t="shared" si="15"/>
        <v>2.2785826484475469E-4</v>
      </c>
      <c r="AD96" s="40">
        <f t="shared" si="15"/>
        <v>2.2455597115135333E-4</v>
      </c>
      <c r="AE96" s="40">
        <f t="shared" si="15"/>
        <v>2.2130153678684081E-4</v>
      </c>
      <c r="AF96" s="40">
        <f t="shared" si="15"/>
        <v>2.1809426813775706E-4</v>
      </c>
      <c r="AG96" s="40">
        <f t="shared" si="15"/>
        <v>2.1493348164300721E-4</v>
      </c>
      <c r="AH96" s="40">
        <f t="shared" si="15"/>
        <v>2.1181850364817949E-4</v>
      </c>
      <c r="AI96" s="40">
        <f t="shared" si="15"/>
        <v>2.0874867026197605E-4</v>
      </c>
      <c r="AJ96" s="40">
        <f t="shared" si="15"/>
        <v>2.0572332721469945E-4</v>
      </c>
      <c r="AK96" s="40">
        <f t="shared" si="15"/>
        <v>2.0274182971883811E-4</v>
      </c>
      <c r="AL96" s="40">
        <f t="shared" si="15"/>
        <v>1.9980354233160857E-4</v>
      </c>
      <c r="AM96" s="40">
        <f t="shared" si="15"/>
        <v>1.9690783881955165E-4</v>
      </c>
      <c r="AN96" s="40">
        <f t="shared" si="15"/>
        <v>1.9405410202506627E-4</v>
      </c>
      <c r="AO96" s="40">
        <f t="shared" si="15"/>
        <v>1.9124172373484807E-4</v>
      </c>
      <c r="AP96" s="40">
        <f t="shared" si="15"/>
        <v>1.8847010455028644E-4</v>
      </c>
      <c r="AW96" s="40"/>
      <c r="AY96" s="40"/>
      <c r="AZ96" s="40"/>
      <c r="BA96" s="40"/>
      <c r="BB96" s="40"/>
      <c r="BC96" s="40"/>
      <c r="BD96" s="40"/>
      <c r="BE96" s="40"/>
      <c r="BF96" s="40"/>
      <c r="BG96" s="40"/>
      <c r="BH96" s="40"/>
      <c r="BI96" s="40"/>
      <c r="BJ96" s="40"/>
      <c r="BK96" s="40"/>
      <c r="BL96" s="40"/>
      <c r="BM96" s="40"/>
      <c r="BQ96" s="40"/>
      <c r="BS96" s="40"/>
      <c r="BU96" s="40"/>
      <c r="BV96" s="40"/>
      <c r="BW96" s="40"/>
      <c r="BX96" s="40"/>
    </row>
    <row r="97" spans="1:76" s="26" customFormat="1" x14ac:dyDescent="0.25">
      <c r="A97" s="26" t="s">
        <v>355</v>
      </c>
      <c r="B97" s="40">
        <f>IF(Diskontering!B16&lt;=Diskontering!$A$5,(($B$63+$B$64)*Diskontering!B38),0)</f>
        <v>-1.3425015090960231</v>
      </c>
      <c r="C97" s="40">
        <f>IF(Diskontering!C16&lt;=Diskontering!$A$5,(($B$63+$B$64)*Diskontering!C38),0)</f>
        <v>-1.3230449654859358</v>
      </c>
      <c r="D97" s="40">
        <f>IF(Diskontering!D16&lt;=Diskontering!$A$5,(($B$63+$B$64)*Diskontering!D38),0)</f>
        <v>-1.3038704007687483</v>
      </c>
      <c r="E97" s="40">
        <f>IF(Diskontering!E16&lt;=Diskontering!$A$5,(($B$63+$B$64)*Diskontering!E38),0)</f>
        <v>-1.2849737282938392</v>
      </c>
      <c r="F97" s="40">
        <f>IF(Diskontering!F16&lt;=Diskontering!$A$5,(($B$63+$B$64)*Diskontering!F38),0)</f>
        <v>-1.2663509206374068</v>
      </c>
      <c r="G97" s="40">
        <f>IF(Diskontering!G16&lt;=Diskontering!$A$5,(($B$63+$B$64)*Diskontering!G38),0)</f>
        <v>-1.2479980087441114</v>
      </c>
      <c r="H97" s="40">
        <f>IF(Diskontering!H16&lt;=Diskontering!$A$5,(($B$63+$B$64)*Diskontering!H38),0)</f>
        <v>-1.2299110810811533</v>
      </c>
      <c r="I97" s="40">
        <f>IF(Diskontering!I16&lt;=Diskontering!$A$5,(($B$63+$B$64)*Diskontering!I38),0)</f>
        <v>-1.2120862828046151</v>
      </c>
      <c r="J97" s="40">
        <f>IF(Diskontering!J16&lt;=Diskontering!$A$5,(($B$63+$B$64)*Diskontering!J38),0)</f>
        <v>-1.1945198149378815</v>
      </c>
      <c r="K97" s="40">
        <f>IF(Diskontering!K16&lt;=Diskontering!$A$5,(($B$63+$B$64)*Diskontering!K38),0)</f>
        <v>-1.1772079335619703</v>
      </c>
      <c r="L97" s="40">
        <f>IF(Diskontering!L16&lt;=Diskontering!$A$5,(($B$63+$B$64)*Diskontering!L38),0)</f>
        <v>-1.1601469490175942</v>
      </c>
      <c r="M97" s="40">
        <f>IF(Diskontering!M16&lt;=Diskontering!$A$5,(($B$63+$B$64)*Diskontering!M38),0)</f>
        <v>-1.1433332251187887</v>
      </c>
      <c r="N97" s="40">
        <f>IF(Diskontering!N16&lt;=Diskontering!$A$5,(($B$63+$B$64)*Diskontering!N38),0)</f>
        <v>-1.1267631783779364</v>
      </c>
      <c r="O97" s="40">
        <f>IF(Diskontering!O16&lt;=Diskontering!$A$5,(($B$63+$B$64)*Diskontering!O38),0)</f>
        <v>-1.1104332772420245</v>
      </c>
      <c r="P97" s="40">
        <f>IF(Diskontering!P16&lt;=Diskontering!$A$5,(($B$63+$B$64)*Diskontering!P38),0)</f>
        <v>-1.0943400413399664</v>
      </c>
      <c r="Q97" s="40">
        <f>IF(Diskontering!Q16&lt;=Diskontering!$A$5,(($B$63+$B$64)*Diskontering!Q38),0)</f>
        <v>-1.0784800407408366</v>
      </c>
      <c r="R97" s="40">
        <f>IF(Diskontering!R16&lt;=Diskontering!$A$5,(($B$63+$B$64)*Diskontering!R38),0)</f>
        <v>-1.0628498952228536</v>
      </c>
      <c r="S97" s="40">
        <f>IF(Diskontering!S16&lt;=Diskontering!$A$5,(($B$63+$B$64)*Diskontering!S38),0)</f>
        <v>-1.0474462735529571</v>
      </c>
      <c r="T97" s="40">
        <f>IF(Diskontering!T16&lt;=Diskontering!$A$5,(($B$63+$B$64)*Diskontering!T38),0)</f>
        <v>-1.0322658927768276</v>
      </c>
      <c r="U97" s="40">
        <f>IF(Diskontering!U16&lt;=Diskontering!$A$5,(($B$63+$B$64)*Diskontering!U38),0)</f>
        <v>-1.0173055175191925</v>
      </c>
      <c r="V97" s="40">
        <f>IF(Diskontering!V16&lt;=Diskontering!$A$5,(($B$63+$B$64)*Diskontering!V38),0)</f>
        <v>-1.0025619592942767</v>
      </c>
      <c r="W97" s="40">
        <f>IF(Diskontering!W16&lt;=Diskontering!$A$5,(($B$63+$B$64)*Diskontering!W38),0)</f>
        <v>-0.98803207582624397</v>
      </c>
      <c r="X97" s="40">
        <f>IF(Diskontering!X16&lt;=Diskontering!$A$5,(($B$63+$B$64)*Diskontering!X38),0)</f>
        <v>-0.973712770379487</v>
      </c>
      <c r="Y97" s="40">
        <f>IF(Diskontering!Y16&lt;=Diskontering!$A$5,(($B$63+$B$64)*Diskontering!Y38),0)</f>
        <v>-0.95960099109862473</v>
      </c>
      <c r="Z97" s="40">
        <f>IF(Diskontering!Z16&lt;=Diskontering!$A$5,(($B$63+$B$64)*Diskontering!Z38),0)</f>
        <v>-0.94569373035806503</v>
      </c>
      <c r="AA97" s="40">
        <f>IF(Diskontering!AA16&lt;=Diskontering!$A$5,(($B$63+$B$64)*Diskontering!AA38),0)</f>
        <v>-0.93198802412099169</v>
      </c>
      <c r="AB97" s="40">
        <f>IF(Diskontering!AB16&lt;=Diskontering!$A$5,(($B$63+$B$64)*Diskontering!AB38),0)</f>
        <v>-0.91848095130764396</v>
      </c>
      <c r="AC97" s="40">
        <f>IF(Diskontering!AC16&lt;=Diskontering!$A$5,(($B$63+$B$64)*Diskontering!AC38),0)</f>
        <v>-0.90516963317275079</v>
      </c>
      <c r="AD97" s="40">
        <f>IF(Diskontering!AD16&lt;=Diskontering!$A$5,(($B$63+$B$64)*Diskontering!AD38),0)</f>
        <v>-0.89205123269198638</v>
      </c>
      <c r="AE97" s="40">
        <f>IF(Diskontering!AE16&lt;=Diskontering!$A$5,(($B$63+$B$64)*Diskontering!AE38),0)</f>
        <v>-0.87912295395731999</v>
      </c>
      <c r="AF97" s="40">
        <f>IF(Diskontering!AF16&lt;=Diskontering!$A$5,(($B$63+$B$64)*Diskontering!AF38),0)</f>
        <v>-0.86638204158112708</v>
      </c>
      <c r="AG97" s="40">
        <f>IF(Diskontering!AG16&lt;=Diskontering!$A$5,(($B$63+$B$64)*Diskontering!AG38),0)</f>
        <v>-0.85382578010893695</v>
      </c>
      <c r="AH97" s="40">
        <f>IF(Diskontering!AH16&lt;=Diskontering!$A$5,(($B$63+$B$64)*Diskontering!AH38),0)</f>
        <v>-0.84145149344069159</v>
      </c>
      <c r="AI97" s="40">
        <f>IF(Diskontering!AI16&lt;=Diskontering!$A$5,(($B$63+$B$64)*Diskontering!AI38),0)</f>
        <v>-0.82925654426039175</v>
      </c>
      <c r="AJ97" s="40">
        <f>IF(Diskontering!AJ16&lt;=Diskontering!$A$5,(($B$63+$B$64)*Diskontering!AJ38),0)</f>
        <v>-0.81723833347400932</v>
      </c>
      <c r="AK97" s="40">
        <f>IF(Diskontering!AK16&lt;=Diskontering!$A$5,(($B$63+$B$64)*Diskontering!AK38),0)</f>
        <v>-0.80539429965554532</v>
      </c>
      <c r="AL97" s="40">
        <f>IF(Diskontering!AL16&lt;=Diskontering!$A$5,(($B$63+$B$64)*Diskontering!AL38),0)</f>
        <v>-0.79372191850111729</v>
      </c>
      <c r="AM97" s="40">
        <f>IF(Diskontering!AM16&lt;=Diskontering!$A$5,(($B$63+$B$64)*Diskontering!AM38),0)</f>
        <v>-0.78221870229095636</v>
      </c>
      <c r="AN97" s="40">
        <f>IF(Diskontering!AN16&lt;=Diskontering!$A$5,(($B$63+$B$64)*Diskontering!AN38),0)</f>
        <v>-0.77088219935920343</v>
      </c>
      <c r="AO97" s="40">
        <f>IF(Diskontering!AO16&lt;=Diskontering!$A$5,(($B$63+$B$64)*Diskontering!AO38),0)</f>
        <v>-0.75970999357138902</v>
      </c>
      <c r="AP97" s="40">
        <f>IF(Diskontering!AP16&lt;=Diskontering!$A$5,(($B$63+$B$64)*Diskontering!AP38),0)</f>
        <v>-0.74869970380948481</v>
      </c>
      <c r="AW97" s="40"/>
      <c r="AY97" s="40"/>
      <c r="AZ97" s="40"/>
      <c r="BA97" s="40"/>
      <c r="BB97" s="40"/>
      <c r="BC97" s="40"/>
      <c r="BD97" s="40"/>
      <c r="BE97" s="40"/>
      <c r="BF97" s="40"/>
      <c r="BG97" s="40"/>
      <c r="BH97" s="40"/>
      <c r="BI97" s="40"/>
      <c r="BJ97" s="40"/>
      <c r="BK97" s="40"/>
      <c r="BL97" s="40"/>
      <c r="BM97" s="40"/>
      <c r="BQ97" s="40"/>
      <c r="BS97" s="40"/>
      <c r="BU97" s="40"/>
      <c r="BV97" s="40"/>
      <c r="BW97" s="40"/>
      <c r="BX97" s="40"/>
    </row>
    <row r="98" spans="1:76" s="295" customFormat="1" ht="12.75" x14ac:dyDescent="0.2">
      <c r="A98" s="294" t="s">
        <v>357</v>
      </c>
      <c r="B98" s="217">
        <f>(($B$63*'Kalkylvärden 1'!$C$180+$B$64*'Kalkylvärden 1'!$C$182)*Diskontering!B41)</f>
        <v>-0.41510476109472133</v>
      </c>
      <c r="C98" s="217">
        <f>(($B$63*'Kalkylvärden 1'!$C$180+$B$64*'Kalkylvärden 1'!$C$182)*Diskontering!C41)</f>
        <v>-0.41510476109472133</v>
      </c>
      <c r="D98" s="217">
        <f>(($B$63*'Kalkylvärden 1'!$C$180+$B$64*'Kalkylvärden 1'!$C$182)*Diskontering!D41)</f>
        <v>-0.40908875006436302</v>
      </c>
      <c r="E98" s="217">
        <f>(($B$63*'Kalkylvärden 1'!$C$180+$B$64*'Kalkylvärden 1'!$C$182)*Diskontering!E41)</f>
        <v>-0.40315992759966218</v>
      </c>
      <c r="F98" s="217">
        <f>(($B$63*'Kalkylvärden 1'!$C$180+$B$64*'Kalkylvärden 1'!$C$182)*Diskontering!F41)</f>
        <v>-0.39731703009821778</v>
      </c>
      <c r="G98" s="217">
        <f>(($B$63*'Kalkylvärden 1'!$C$180+$B$64*'Kalkylvärden 1'!$C$182)*Diskontering!G41)</f>
        <v>-0.39155881227070749</v>
      </c>
      <c r="H98" s="217">
        <f>(($B$63*'Kalkylvärden 1'!$C$180+$B$64*'Kalkylvärden 1'!$C$182)*Diskontering!H41)</f>
        <v>-0.38588404687547989</v>
      </c>
      <c r="I98" s="217">
        <f>(($B$63*'Kalkylvärden 1'!$C$180+$B$64*'Kalkylvärden 1'!$C$182)*Diskontering!I41)</f>
        <v>-0.38029152445699477</v>
      </c>
      <c r="J98" s="217">
        <f>(($B$63*'Kalkylvärden 1'!$C$180+$B$64*'Kalkylvärden 1'!$C$182)*Diskontering!J41)</f>
        <v>-0.37478005308805279</v>
      </c>
      <c r="K98" s="217">
        <f>(($B$63*'Kalkylvärden 1'!$C$180+$B$64*'Kalkylvärden 1'!$C$182)*Diskontering!K41)</f>
        <v>-0.36934845811576222</v>
      </c>
      <c r="L98" s="217">
        <f>(($B$63*'Kalkylvärden 1'!$C$180+$B$64*'Kalkylvärden 1'!$C$182)*Diskontering!L41)</f>
        <v>-0.36399558191118603</v>
      </c>
      <c r="M98" s="217">
        <f>(($B$63*'Kalkylvärden 1'!$C$180+$B$64*'Kalkylvärden 1'!$C$182)*Diskontering!M41)</f>
        <v>-0.35872028362261815</v>
      </c>
      <c r="N98" s="217">
        <f>(($B$63*'Kalkylvärden 1'!$C$180+$B$64*'Kalkylvärden 1'!$C$182)*Diskontering!N41)</f>
        <v>-0.35352143893243526</v>
      </c>
      <c r="O98" s="217">
        <f>(($B$63*'Kalkylvärden 1'!$C$180+$B$64*'Kalkylvärden 1'!$C$182)*Diskontering!O41)</f>
        <v>-0.34839793981747247</v>
      </c>
      <c r="P98" s="217">
        <f>(($B$63*'Kalkylvärden 1'!$C$180+$B$64*'Kalkylvärden 1'!$C$182)*Diskontering!P41)</f>
        <v>-0.34334869431287152</v>
      </c>
      <c r="Q98" s="217">
        <f>(($B$63*'Kalkylvärden 1'!$C$180+$B$64*'Kalkylvärden 1'!$C$182)*Diskontering!Q41)</f>
        <v>-0.33837262627935166</v>
      </c>
      <c r="R98" s="217">
        <f>(($B$63*'Kalkylvärden 1'!$C$180+$B$64*'Kalkylvärden 1'!$C$182)*Diskontering!R41)</f>
        <v>-0.33346867517385387</v>
      </c>
      <c r="S98" s="217">
        <f>(($B$63*'Kalkylvärden 1'!$C$180+$B$64*'Kalkylvärden 1'!$C$182)*Diskontering!S41)</f>
        <v>-0.3286357958235081</v>
      </c>
      <c r="T98" s="217">
        <f>(($B$63*'Kalkylvärden 1'!$C$180+$B$64*'Kalkylvärden 1'!$C$182)*Diskontering!T41)</f>
        <v>-0.32387295820287765</v>
      </c>
      <c r="U98" s="217">
        <f>(($B$63*'Kalkylvärden 1'!$C$180+$B$64*'Kalkylvärden 1'!$C$182)*Diskontering!U41)</f>
        <v>-0.31917914721443019</v>
      </c>
      <c r="V98" s="217">
        <f>(($B$63*'Kalkylvärden 1'!$C$180+$B$64*'Kalkylvärden 1'!$C$182)*Diskontering!V41)</f>
        <v>-0.31455336247219207</v>
      </c>
      <c r="W98" s="217">
        <f>(($B$63*'Kalkylvärden 1'!$C$180+$B$64*'Kalkylvärden 1'!$C$182)*Diskontering!W41)</f>
        <v>-0.30999461808853718</v>
      </c>
      <c r="X98" s="217">
        <f>(($B$63*'Kalkylvärden 1'!$C$180+$B$64*'Kalkylvärden 1'!$C$182)*Diskontering!X41)</f>
        <v>-0.3055019424640657</v>
      </c>
      <c r="Y98" s="217">
        <f>(($B$63*'Kalkylvärden 1'!$C$180+$B$64*'Kalkylvärden 1'!$C$182)*Diskontering!Y41)</f>
        <v>-0.30107437808052856</v>
      </c>
      <c r="Z98" s="217">
        <f>(($B$63*'Kalkylvärden 1'!$C$180+$B$64*'Kalkylvärden 1'!$C$182)*Diskontering!Z41)</f>
        <v>-0.29671098129675277</v>
      </c>
      <c r="AA98" s="217">
        <f>(($B$63*'Kalkylvärden 1'!$C$180+$B$64*'Kalkylvärden 1'!$C$182)*Diskontering!AA41)</f>
        <v>-0.29241082214752451</v>
      </c>
      <c r="AB98" s="217">
        <f>(($B$63*'Kalkylvärden 1'!$C$180+$B$64*'Kalkylvärden 1'!$C$182)*Diskontering!AB41)</f>
        <v>-0.28817298414538645</v>
      </c>
      <c r="AC98" s="217">
        <f>(($B$63*'Kalkylvärden 1'!$C$180+$B$64*'Kalkylvärden 1'!$C$182)*Diskontering!AC41)</f>
        <v>-0.28399656408530838</v>
      </c>
      <c r="AD98" s="217">
        <f>(($B$63*'Kalkylvärden 1'!$C$180+$B$64*'Kalkylvärden 1'!$C$182)*Diskontering!AD41)</f>
        <v>-0.27988067185218801</v>
      </c>
      <c r="AE98" s="217">
        <f>(($B$63*'Kalkylvärden 1'!$C$180+$B$64*'Kalkylvärden 1'!$C$182)*Diskontering!AE41)</f>
        <v>-0.27582443023114184</v>
      </c>
      <c r="AF98" s="217">
        <f>(($B$63*'Kalkylvärden 1'!$C$180+$B$64*'Kalkylvärden 1'!$C$182)*Diskontering!AF41)</f>
        <v>-0.27182697472054562</v>
      </c>
      <c r="AG98" s="217">
        <f>(($B$63*'Kalkylvärden 1'!$C$180+$B$64*'Kalkylvärden 1'!$C$182)*Diskontering!AG41)</f>
        <v>-0.26788745334778413</v>
      </c>
      <c r="AH98" s="217">
        <f>(($B$63*'Kalkylvärden 1'!$C$180+$B$64*'Kalkylvärden 1'!$C$182)*Diskontering!AH41)</f>
        <v>-0.26400502648767132</v>
      </c>
      <c r="AI98" s="217">
        <f>(($B$63*'Kalkylvärden 1'!$C$180+$B$64*'Kalkylvärden 1'!$C$182)*Diskontering!AI41)</f>
        <v>-0.26017886668350221</v>
      </c>
      <c r="AJ98" s="217">
        <f>(($B$63*'Kalkylvärden 1'!$C$180+$B$64*'Kalkylvärden 1'!$C$182)*Diskontering!AJ41)</f>
        <v>-0.25640815847069787</v>
      </c>
      <c r="AK98" s="217">
        <f>(($B$63*'Kalkylvärden 1'!$C$180+$B$64*'Kalkylvärden 1'!$C$182)*Diskontering!AK41)</f>
        <v>-0.25269209820300664</v>
      </c>
      <c r="AL98" s="217">
        <f>(($B$63*'Kalkylvärden 1'!$C$180+$B$64*'Kalkylvärden 1'!$C$182)*Diskontering!AL41)</f>
        <v>-0.24902989388122393</v>
      </c>
      <c r="AM98" s="217">
        <f>(($B$63*'Kalkylvärden 1'!$C$180+$B$64*'Kalkylvärden 1'!$C$182)*Diskontering!AM41)</f>
        <v>-0.24542076498439458</v>
      </c>
      <c r="AN98" s="217">
        <f>(($B$63*'Kalkylvärden 1'!$C$180+$B$64*'Kalkylvärden 1'!$C$182)*Diskontering!AN41)</f>
        <v>-0.24186394230346139</v>
      </c>
      <c r="AO98" s="217">
        <f>(($B$63*'Kalkylvärden 1'!$C$180+$B$64*'Kalkylvärden 1'!$C$182)*Diskontering!AO41)</f>
        <v>-0.23835866777732428</v>
      </c>
      <c r="AP98" s="217">
        <f>(($B$63*'Kalkylvärden 1'!$C$180+$B$64*'Kalkylvärden 1'!$C$182)*Diskontering!AP41)</f>
        <v>-0.23490419433127616</v>
      </c>
      <c r="AW98" s="217"/>
      <c r="AY98" s="217"/>
      <c r="AZ98" s="217"/>
      <c r="BA98" s="217"/>
      <c r="BB98" s="217"/>
      <c r="BC98" s="217"/>
      <c r="BD98" s="217"/>
      <c r="BE98" s="217"/>
      <c r="BF98" s="217"/>
      <c r="BG98" s="217"/>
      <c r="BH98" s="217"/>
      <c r="BI98" s="217"/>
      <c r="BJ98" s="217"/>
      <c r="BK98" s="217"/>
      <c r="BL98" s="217"/>
      <c r="BM98" s="217"/>
      <c r="BQ98" s="217"/>
      <c r="BS98" s="217"/>
      <c r="BU98" s="217"/>
      <c r="BV98" s="217"/>
      <c r="BW98" s="217"/>
      <c r="BX98" s="217"/>
    </row>
    <row r="99" spans="1:76" s="295" customFormat="1" ht="12.75" x14ac:dyDescent="0.2">
      <c r="A99" s="294" t="s">
        <v>358</v>
      </c>
      <c r="B99" s="217">
        <f>(($B$63*'Kalkylvärden 1'!$C$180+$B$64*'Kalkylvärden 1'!$C$182)*Diskontering!B38)</f>
        <v>-0.41510476109472133</v>
      </c>
      <c r="C99" s="217">
        <f>(($B$63*'Kalkylvärden 1'!$C$180+$B$64*'Kalkylvärden 1'!$C$182)*Diskontering!C38)</f>
        <v>-0.40908875006436307</v>
      </c>
      <c r="D99" s="217">
        <f>(($B$63*'Kalkylvärden 1'!$C$180+$B$64*'Kalkylvärden 1'!$C$182)*Diskontering!D38)</f>
        <v>-0.40315992759966218</v>
      </c>
      <c r="E99" s="217">
        <f>(($B$63*'Kalkylvärden 1'!$C$180+$B$64*'Kalkylvärden 1'!$C$182)*Diskontering!E38)</f>
        <v>-0.39731703009821784</v>
      </c>
      <c r="F99" s="217">
        <f>(($B$63*'Kalkylvärden 1'!$C$180+$B$64*'Kalkylvärden 1'!$C$182)*Diskontering!F38)</f>
        <v>-0.39155881227070749</v>
      </c>
      <c r="G99" s="217">
        <f>(($B$63*'Kalkylvärden 1'!$C$180+$B$64*'Kalkylvärden 1'!$C$182)*Diskontering!G38)</f>
        <v>-0.38588404687547989</v>
      </c>
      <c r="H99" s="217">
        <f>(($B$63*'Kalkylvärden 1'!$C$180+$B$64*'Kalkylvärden 1'!$C$182)*Diskontering!H38)</f>
        <v>-0.38029152445699471</v>
      </c>
      <c r="I99" s="217">
        <f>(($B$63*'Kalkylvärden 1'!$C$180+$B$64*'Kalkylvärden 1'!$C$182)*Diskontering!I38)</f>
        <v>-0.37478005308805279</v>
      </c>
      <c r="J99" s="217">
        <f>(($B$63*'Kalkylvärden 1'!$C$180+$B$64*'Kalkylvärden 1'!$C$182)*Diskontering!J38)</f>
        <v>-0.36934845811576222</v>
      </c>
      <c r="K99" s="217">
        <f>(($B$63*'Kalkylvärden 1'!$C$180+$B$64*'Kalkylvärden 1'!$C$182)*Diskontering!K38)</f>
        <v>-0.36399558191118597</v>
      </c>
      <c r="L99" s="217">
        <f>(($B$63*'Kalkylvärden 1'!$C$180+$B$64*'Kalkylvärden 1'!$C$182)*Diskontering!L38)</f>
        <v>-0.35872028362261815</v>
      </c>
      <c r="M99" s="217">
        <f>(($B$63*'Kalkylvärden 1'!$C$180+$B$64*'Kalkylvärden 1'!$C$182)*Diskontering!M38)</f>
        <v>-0.35352143893243532</v>
      </c>
      <c r="N99" s="217">
        <f>(($B$63*'Kalkylvärden 1'!$C$180+$B$64*'Kalkylvärden 1'!$C$182)*Diskontering!N38)</f>
        <v>-0.34839793981747247</v>
      </c>
      <c r="O99" s="217">
        <f>(($B$63*'Kalkylvärden 1'!$C$180+$B$64*'Kalkylvärden 1'!$C$182)*Diskontering!O38)</f>
        <v>-0.34334869431287146</v>
      </c>
      <c r="P99" s="217">
        <f>(($B$63*'Kalkylvärden 1'!$C$180+$B$64*'Kalkylvärden 1'!$C$182)*Diskontering!P38)</f>
        <v>-0.33837262627935166</v>
      </c>
      <c r="Q99" s="217">
        <f>(($B$63*'Kalkylvärden 1'!$C$180+$B$64*'Kalkylvärden 1'!$C$182)*Diskontering!Q38)</f>
        <v>-0.33346867517385387</v>
      </c>
      <c r="R99" s="217">
        <f>(($B$63*'Kalkylvärden 1'!$C$180+$B$64*'Kalkylvärden 1'!$C$182)*Diskontering!R38)</f>
        <v>-0.32863579582350816</v>
      </c>
      <c r="S99" s="217">
        <f>(($B$63*'Kalkylvärden 1'!$C$180+$B$64*'Kalkylvärden 1'!$C$182)*Diskontering!S38)</f>
        <v>-0.32387295820287759</v>
      </c>
      <c r="T99" s="217">
        <f>(($B$63*'Kalkylvärden 1'!$C$180+$B$64*'Kalkylvärden 1'!$C$182)*Diskontering!T38)</f>
        <v>-0.31917914721443019</v>
      </c>
      <c r="U99" s="217">
        <f>(($B$63*'Kalkylvärden 1'!$C$180+$B$64*'Kalkylvärden 1'!$C$182)*Diskontering!U38)</f>
        <v>-0.31455336247219207</v>
      </c>
      <c r="V99" s="217">
        <f>(($B$63*'Kalkylvärden 1'!$C$180+$B$64*'Kalkylvärden 1'!$C$182)*Diskontering!V38)</f>
        <v>-0.30999461808853718</v>
      </c>
      <c r="W99" s="217">
        <f>(($B$63*'Kalkylvärden 1'!$C$180+$B$64*'Kalkylvärden 1'!$C$182)*Diskontering!W38)</f>
        <v>-0.3055019424640657</v>
      </c>
      <c r="X99" s="217">
        <f>(($B$63*'Kalkylvärden 1'!$C$180+$B$64*'Kalkylvärden 1'!$C$182)*Diskontering!X38)</f>
        <v>-0.30107437808052856</v>
      </c>
      <c r="Y99" s="217">
        <f>(($B$63*'Kalkylvärden 1'!$C$180+$B$64*'Kalkylvärden 1'!$C$182)*Diskontering!Y38)</f>
        <v>-0.29671098129675277</v>
      </c>
      <c r="Z99" s="217">
        <f>(($B$63*'Kalkylvärden 1'!$C$180+$B$64*'Kalkylvärden 1'!$C$182)*Diskontering!Z38)</f>
        <v>-0.29241082214752451</v>
      </c>
      <c r="AA99" s="217">
        <f>(($B$63*'Kalkylvärden 1'!$C$180+$B$64*'Kalkylvärden 1'!$C$182)*Diskontering!AA38)</f>
        <v>-0.28817298414538645</v>
      </c>
      <c r="AB99" s="217">
        <f>(($B$63*'Kalkylvärden 1'!$C$180+$B$64*'Kalkylvärden 1'!$C$182)*Diskontering!AB38)</f>
        <v>-0.28399656408530838</v>
      </c>
      <c r="AC99" s="217">
        <f>(($B$63*'Kalkylvärden 1'!$C$180+$B$64*'Kalkylvärden 1'!$C$182)*Diskontering!AC38)</f>
        <v>-0.27988067185218807</v>
      </c>
      <c r="AD99" s="217">
        <f>(($B$63*'Kalkylvärden 1'!$C$180+$B$64*'Kalkylvärden 1'!$C$182)*Diskontering!AD38)</f>
        <v>-0.27582443023114184</v>
      </c>
      <c r="AE99" s="217">
        <f>(($B$63*'Kalkylvärden 1'!$C$180+$B$64*'Kalkylvärden 1'!$C$182)*Diskontering!AE38)</f>
        <v>-0.27182697472054562</v>
      </c>
      <c r="AF99" s="217">
        <f>(($B$63*'Kalkylvärden 1'!$C$180+$B$64*'Kalkylvärden 1'!$C$182)*Diskontering!AF38)</f>
        <v>-0.26788745334778413</v>
      </c>
      <c r="AG99" s="217">
        <f>(($B$63*'Kalkylvärden 1'!$C$180+$B$64*'Kalkylvärden 1'!$C$182)*Diskontering!AG38)</f>
        <v>-0.26400502648767132</v>
      </c>
      <c r="AH99" s="217">
        <f>(($B$63*'Kalkylvärden 1'!$C$180+$B$64*'Kalkylvärden 1'!$C$182)*Diskontering!AH38)</f>
        <v>-0.26017886668350226</v>
      </c>
      <c r="AI99" s="217">
        <f>(($B$63*'Kalkylvärden 1'!$C$180+$B$64*'Kalkylvärden 1'!$C$182)*Diskontering!AI38)</f>
        <v>-0.25640815847069787</v>
      </c>
      <c r="AJ99" s="217">
        <f>(($B$63*'Kalkylvärden 1'!$C$180+$B$64*'Kalkylvärden 1'!$C$182)*Diskontering!AJ38)</f>
        <v>-0.25269209820300664</v>
      </c>
      <c r="AK99" s="217">
        <f>(($B$63*'Kalkylvärden 1'!$C$180+$B$64*'Kalkylvärden 1'!$C$182)*Diskontering!AK38)</f>
        <v>-0.2490298938812239</v>
      </c>
      <c r="AL99" s="217">
        <f>(($B$63*'Kalkylvärden 1'!$C$180+$B$64*'Kalkylvärden 1'!$C$182)*Diskontering!AL38)</f>
        <v>-0.24542076498439458</v>
      </c>
      <c r="AM99" s="217">
        <f>(($B$63*'Kalkylvärden 1'!$C$180+$B$64*'Kalkylvärden 1'!$C$182)*Diskontering!AM38)</f>
        <v>-0.24186394230346139</v>
      </c>
      <c r="AN99" s="217">
        <f>(($B$63*'Kalkylvärden 1'!$C$180+$B$64*'Kalkylvärden 1'!$C$182)*Diskontering!AN38)</f>
        <v>-0.23835866777732428</v>
      </c>
      <c r="AO99" s="217">
        <f>(($B$63*'Kalkylvärden 1'!$C$180+$B$64*'Kalkylvärden 1'!$C$182)*Diskontering!AO38)</f>
        <v>-0.23490419433127616</v>
      </c>
      <c r="AP99" s="217">
        <f>(($B$63*'Kalkylvärden 1'!$C$180+$B$64*'Kalkylvärden 1'!$C$182)*Diskontering!AP38)</f>
        <v>-0.2314997857177794</v>
      </c>
      <c r="AW99" s="217"/>
      <c r="AY99" s="217"/>
      <c r="AZ99" s="217"/>
      <c r="BA99" s="217"/>
      <c r="BB99" s="217"/>
      <c r="BC99" s="217"/>
      <c r="BD99" s="217"/>
      <c r="BE99" s="217"/>
      <c r="BF99" s="217"/>
      <c r="BG99" s="217"/>
      <c r="BH99" s="217"/>
      <c r="BI99" s="217"/>
      <c r="BJ99" s="217"/>
      <c r="BK99" s="217"/>
      <c r="BL99" s="217"/>
      <c r="BM99" s="217"/>
      <c r="BQ99" s="217"/>
      <c r="BS99" s="217"/>
      <c r="BU99" s="217"/>
      <c r="BV99" s="217"/>
      <c r="BW99" s="217"/>
      <c r="BX99" s="217"/>
    </row>
    <row r="100" spans="1:76" s="26" customFormat="1" x14ac:dyDescent="0.25">
      <c r="A100" s="296" t="s">
        <v>359</v>
      </c>
      <c r="B100" s="40">
        <f>B98-B99</f>
        <v>0</v>
      </c>
      <c r="C100" s="40">
        <f t="shared" ref="C100:AP100" si="16">C98-C99</f>
        <v>-6.0160110303582592E-3</v>
      </c>
      <c r="D100" s="40">
        <f t="shared" si="16"/>
        <v>-5.9288224647008336E-3</v>
      </c>
      <c r="E100" s="40">
        <f t="shared" si="16"/>
        <v>-5.8428975014443441E-3</v>
      </c>
      <c r="F100" s="40">
        <f t="shared" si="16"/>
        <v>-5.7582178275102924E-3</v>
      </c>
      <c r="G100" s="40">
        <f t="shared" si="16"/>
        <v>-5.6747653952275989E-3</v>
      </c>
      <c r="H100" s="40">
        <f t="shared" si="16"/>
        <v>-5.5925224184851796E-3</v>
      </c>
      <c r="I100" s="40">
        <f t="shared" si="16"/>
        <v>-5.5114713689419781E-3</v>
      </c>
      <c r="J100" s="40">
        <f t="shared" si="16"/>
        <v>-5.4315949722905654E-3</v>
      </c>
      <c r="K100" s="40">
        <f t="shared" si="16"/>
        <v>-5.3528762045762512E-3</v>
      </c>
      <c r="L100" s="40">
        <f t="shared" si="16"/>
        <v>-5.2752982885678756E-3</v>
      </c>
      <c r="M100" s="40">
        <f t="shared" si="16"/>
        <v>-5.1988446901828356E-3</v>
      </c>
      <c r="N100" s="40">
        <f t="shared" si="16"/>
        <v>-5.1234991149627929E-3</v>
      </c>
      <c r="O100" s="40">
        <f t="shared" si="16"/>
        <v>-5.0492455046010076E-3</v>
      </c>
      <c r="P100" s="40">
        <f t="shared" si="16"/>
        <v>-4.9760680335198537E-3</v>
      </c>
      <c r="Q100" s="40">
        <f t="shared" si="16"/>
        <v>-4.9039511054977947E-3</v>
      </c>
      <c r="R100" s="40">
        <f t="shared" si="16"/>
        <v>-4.832879350345709E-3</v>
      </c>
      <c r="S100" s="40">
        <f t="shared" si="16"/>
        <v>-4.7628376206305112E-3</v>
      </c>
      <c r="T100" s="40">
        <f t="shared" si="16"/>
        <v>-4.6938109884474555E-3</v>
      </c>
      <c r="U100" s="40">
        <f t="shared" si="16"/>
        <v>-4.625784742238126E-3</v>
      </c>
      <c r="V100" s="40">
        <f t="shared" si="16"/>
        <v>-4.5587443836548891E-3</v>
      </c>
      <c r="W100" s="40">
        <f t="shared" si="16"/>
        <v>-4.4926756244714761E-3</v>
      </c>
      <c r="X100" s="40">
        <f t="shared" si="16"/>
        <v>-4.4275643835371414E-3</v>
      </c>
      <c r="Y100" s="40">
        <f t="shared" si="16"/>
        <v>-4.3633967837757859E-3</v>
      </c>
      <c r="Z100" s="40">
        <f t="shared" si="16"/>
        <v>-4.3001591492282665E-3</v>
      </c>
      <c r="AA100" s="40">
        <f t="shared" si="16"/>
        <v>-4.2378380021380613E-3</v>
      </c>
      <c r="AB100" s="40">
        <f t="shared" si="16"/>
        <v>-4.1764200600780677E-3</v>
      </c>
      <c r="AC100" s="40">
        <f t="shared" si="16"/>
        <v>-4.1158922331203107E-3</v>
      </c>
      <c r="AD100" s="40">
        <f t="shared" si="16"/>
        <v>-4.0562416210461749E-3</v>
      </c>
      <c r="AE100" s="40">
        <f t="shared" si="16"/>
        <v>-3.9974555105962151E-3</v>
      </c>
      <c r="AF100" s="40">
        <f t="shared" si="16"/>
        <v>-3.9395213727614897E-3</v>
      </c>
      <c r="AG100" s="40">
        <f t="shared" si="16"/>
        <v>-3.8824268601128087E-3</v>
      </c>
      <c r="AH100" s="40">
        <f t="shared" si="16"/>
        <v>-3.8261598041690603E-3</v>
      </c>
      <c r="AI100" s="40">
        <f t="shared" si="16"/>
        <v>-3.7707082128043412E-3</v>
      </c>
      <c r="AJ100" s="40">
        <f t="shared" si="16"/>
        <v>-3.7160602676912236E-3</v>
      </c>
      <c r="AK100" s="40">
        <f t="shared" si="16"/>
        <v>-3.6622043217827416E-3</v>
      </c>
      <c r="AL100" s="40">
        <f t="shared" si="16"/>
        <v>-3.60912889682935E-3</v>
      </c>
      <c r="AM100" s="40">
        <f t="shared" si="16"/>
        <v>-3.556822680933186E-3</v>
      </c>
      <c r="AN100" s="40">
        <f t="shared" si="16"/>
        <v>-3.5052745261371088E-3</v>
      </c>
      <c r="AO100" s="40">
        <f t="shared" si="16"/>
        <v>-3.4544734460481286E-3</v>
      </c>
      <c r="AP100" s="40">
        <f t="shared" si="16"/>
        <v>-3.4044086134967511E-3</v>
      </c>
      <c r="AW100" s="40"/>
      <c r="AY100" s="40"/>
      <c r="AZ100" s="40"/>
      <c r="BA100" s="40"/>
      <c r="BB100" s="40"/>
      <c r="BC100" s="40"/>
      <c r="BD100" s="40"/>
      <c r="BE100" s="40"/>
      <c r="BF100" s="40"/>
      <c r="BG100" s="40"/>
      <c r="BH100" s="40"/>
      <c r="BI100" s="40"/>
      <c r="BJ100" s="40"/>
      <c r="BK100" s="40"/>
      <c r="BL100" s="40"/>
      <c r="BM100" s="40"/>
      <c r="BQ100" s="40"/>
      <c r="BS100" s="40"/>
      <c r="BU100" s="40"/>
      <c r="BV100" s="40"/>
      <c r="BW100" s="40"/>
      <c r="BX100" s="40"/>
    </row>
    <row r="101" spans="1:76" s="26" customFormat="1" x14ac:dyDescent="0.25">
      <c r="A101" s="296" t="s">
        <v>66</v>
      </c>
      <c r="B101" s="40">
        <f>B93+B96+B97+B100</f>
        <v>-0.25952106032947864</v>
      </c>
      <c r="C101" s="40">
        <f t="shared" ref="C101:AP101" si="17">C93+C96+C97+C100</f>
        <v>-0.26144284659032918</v>
      </c>
      <c r="D101" s="40">
        <f t="shared" si="17"/>
        <v>-0.2576538198281505</v>
      </c>
      <c r="E101" s="40">
        <f t="shared" si="17"/>
        <v>-0.25391970649730794</v>
      </c>
      <c r="F101" s="40">
        <f t="shared" si="17"/>
        <v>-0.25023971075097007</v>
      </c>
      <c r="G101" s="40">
        <f t="shared" si="17"/>
        <v>-0.24661304827631847</v>
      </c>
      <c r="H101" s="40">
        <f t="shared" si="17"/>
        <v>-0.2430389461273863</v>
      </c>
      <c r="I101" s="40">
        <f t="shared" si="17"/>
        <v>-0.23951664256032296</v>
      </c>
      <c r="J101" s="40">
        <f t="shared" si="17"/>
        <v>-0.23604538687104265</v>
      </c>
      <c r="K101" s="40">
        <f t="shared" si="17"/>
        <v>-0.23262443923523057</v>
      </c>
      <c r="L101" s="40">
        <f t="shared" si="17"/>
        <v>-0.22925307055066213</v>
      </c>
      <c r="M101" s="40">
        <f t="shared" si="17"/>
        <v>-0.22593056228181185</v>
      </c>
      <c r="N101" s="40">
        <f t="shared" si="17"/>
        <v>-0.22265620630671312</v>
      </c>
      <c r="O101" s="40">
        <f t="shared" si="17"/>
        <v>-0.21942930476603612</v>
      </c>
      <c r="P101" s="40">
        <f t="shared" si="17"/>
        <v>-0.21624916991435456</v>
      </c>
      <c r="Q101" s="40">
        <f t="shared" si="17"/>
        <v>-0.2131151239735668</v>
      </c>
      <c r="R101" s="40">
        <f t="shared" si="17"/>
        <v>-0.21002649898844272</v>
      </c>
      <c r="S101" s="40">
        <f t="shared" si="17"/>
        <v>-0.20698263668426237</v>
      </c>
      <c r="T101" s="40">
        <f t="shared" si="17"/>
        <v>-0.20398288832651934</v>
      </c>
      <c r="U101" s="40">
        <f t="shared" si="17"/>
        <v>-0.20102661458265697</v>
      </c>
      <c r="V101" s="40">
        <f t="shared" si="17"/>
        <v>-0.19811318538580669</v>
      </c>
      <c r="W101" s="40">
        <f t="shared" si="17"/>
        <v>-0.19524197980050523</v>
      </c>
      <c r="X101" s="40">
        <f t="shared" si="17"/>
        <v>-0.19241238589035309</v>
      </c>
      <c r="Y101" s="40">
        <f t="shared" si="17"/>
        <v>-0.18962380058759437</v>
      </c>
      <c r="Z101" s="40">
        <f t="shared" si="17"/>
        <v>-0.18687562956458564</v>
      </c>
      <c r="AA101" s="40">
        <f t="shared" si="17"/>
        <v>-0.18416728710712804</v>
      </c>
      <c r="AB101" s="40">
        <f t="shared" si="17"/>
        <v>-0.1814981959896334</v>
      </c>
      <c r="AC101" s="40">
        <f t="shared" si="17"/>
        <v>-0.17886778735210246</v>
      </c>
      <c r="AD101" s="40">
        <f t="shared" si="17"/>
        <v>-0.17627550057888369</v>
      </c>
      <c r="AE101" s="40">
        <f t="shared" si="17"/>
        <v>-0.17372078317918965</v>
      </c>
      <c r="AF101" s="40">
        <f t="shared" si="17"/>
        <v>-0.1712030906693463</v>
      </c>
      <c r="AG101" s="40">
        <f t="shared" si="17"/>
        <v>-0.16872188645674718</v>
      </c>
      <c r="AH101" s="40">
        <f t="shared" si="17"/>
        <v>-0.16627664172548989</v>
      </c>
      <c r="AI101" s="40">
        <f t="shared" si="17"/>
        <v>-0.1638668353236713</v>
      </c>
      <c r="AJ101" s="40">
        <f t="shared" si="17"/>
        <v>-0.16149195365231372</v>
      </c>
      <c r="AK101" s="40">
        <f t="shared" si="17"/>
        <v>-0.15915149055590347</v>
      </c>
      <c r="AL101" s="40">
        <f t="shared" si="17"/>
        <v>-0.15684494721451364</v>
      </c>
      <c r="AM101" s="40">
        <f t="shared" si="17"/>
        <v>-0.15457183203749161</v>
      </c>
      <c r="AN101" s="40">
        <f t="shared" si="17"/>
        <v>-0.15233166055868738</v>
      </c>
      <c r="AO101" s="40">
        <f t="shared" si="17"/>
        <v>-0.15012395533319925</v>
      </c>
      <c r="AP101" s="40">
        <f t="shared" si="17"/>
        <v>-0.14794824583561658</v>
      </c>
      <c r="AW101" s="40"/>
      <c r="AY101" s="40"/>
      <c r="AZ101" s="40"/>
      <c r="BA101" s="40"/>
      <c r="BB101" s="40"/>
      <c r="BC101" s="40"/>
      <c r="BD101" s="40"/>
      <c r="BE101" s="40"/>
      <c r="BF101" s="40"/>
      <c r="BG101" s="40"/>
      <c r="BH101" s="40"/>
      <c r="BI101" s="40"/>
      <c r="BJ101" s="40"/>
      <c r="BK101" s="40"/>
      <c r="BL101" s="40"/>
      <c r="BM101" s="40"/>
      <c r="BQ101" s="40"/>
      <c r="BS101" s="40"/>
      <c r="BU101" s="40"/>
      <c r="BV101" s="40"/>
      <c r="BW101" s="40"/>
      <c r="BX101" s="40"/>
    </row>
    <row r="102" spans="1:76" x14ac:dyDescent="0.25">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97"/>
      <c r="AB102" s="297"/>
      <c r="AC102" s="297"/>
      <c r="AD102" s="297"/>
      <c r="AE102" s="259"/>
      <c r="AF102" s="259"/>
      <c r="AG102" s="259"/>
      <c r="AH102" s="297"/>
      <c r="AI102" s="297"/>
      <c r="AJ102" s="297"/>
      <c r="AK102" s="297"/>
      <c r="AL102" s="259"/>
      <c r="AM102" s="259"/>
      <c r="AN102" s="297"/>
      <c r="AO102" s="297"/>
      <c r="AP102" s="297"/>
    </row>
    <row r="103" spans="1:76" x14ac:dyDescent="0.25">
      <c r="B103" s="1" t="s">
        <v>269</v>
      </c>
      <c r="C103" s="1" t="s">
        <v>269</v>
      </c>
      <c r="D103" s="1" t="s">
        <v>269</v>
      </c>
      <c r="E103" s="1" t="s">
        <v>269</v>
      </c>
      <c r="F103" s="1" t="s">
        <v>269</v>
      </c>
      <c r="G103" s="1" t="s">
        <v>269</v>
      </c>
      <c r="H103" s="1" t="s">
        <v>269</v>
      </c>
      <c r="I103" s="1" t="s">
        <v>269</v>
      </c>
      <c r="J103" s="1" t="s">
        <v>269</v>
      </c>
      <c r="K103" s="1" t="s">
        <v>269</v>
      </c>
      <c r="L103" s="1" t="s">
        <v>269</v>
      </c>
      <c r="M103" s="1" t="s">
        <v>269</v>
      </c>
      <c r="N103" s="1" t="s">
        <v>269</v>
      </c>
      <c r="O103" s="1" t="s">
        <v>269</v>
      </c>
      <c r="P103" s="1" t="s">
        <v>269</v>
      </c>
      <c r="Q103" s="1" t="s">
        <v>269</v>
      </c>
      <c r="R103" s="1" t="s">
        <v>269</v>
      </c>
      <c r="S103" s="1" t="s">
        <v>269</v>
      </c>
      <c r="T103" s="1" t="s">
        <v>269</v>
      </c>
      <c r="U103" s="1" t="s">
        <v>269</v>
      </c>
      <c r="V103" s="1" t="s">
        <v>269</v>
      </c>
      <c r="W103" s="1" t="s">
        <v>269</v>
      </c>
      <c r="X103" s="1" t="s">
        <v>269</v>
      </c>
      <c r="Y103" s="1" t="s">
        <v>269</v>
      </c>
      <c r="Z103" s="1" t="s">
        <v>269</v>
      </c>
      <c r="AA103" s="1" t="s">
        <v>269</v>
      </c>
      <c r="AB103" s="1" t="s">
        <v>269</v>
      </c>
      <c r="AC103" s="1" t="s">
        <v>269</v>
      </c>
      <c r="AD103" s="1" t="s">
        <v>269</v>
      </c>
      <c r="AE103" s="1" t="s">
        <v>269</v>
      </c>
      <c r="AF103" s="1" t="s">
        <v>269</v>
      </c>
      <c r="AG103" s="1" t="s">
        <v>269</v>
      </c>
      <c r="AH103" s="1" t="s">
        <v>269</v>
      </c>
      <c r="AI103" s="1" t="s">
        <v>269</v>
      </c>
      <c r="AJ103" s="1" t="s">
        <v>269</v>
      </c>
      <c r="AK103" s="1" t="s">
        <v>269</v>
      </c>
      <c r="AL103" s="1" t="s">
        <v>269</v>
      </c>
      <c r="AM103" s="1" t="s">
        <v>269</v>
      </c>
      <c r="AN103" s="1" t="s">
        <v>269</v>
      </c>
      <c r="AO103" s="1" t="s">
        <v>269</v>
      </c>
      <c r="AP103" s="1" t="s">
        <v>269</v>
      </c>
    </row>
    <row r="104" spans="1:76" s="298" customFormat="1" ht="12.75" x14ac:dyDescent="0.2">
      <c r="A104" s="298" t="s">
        <v>360</v>
      </c>
      <c r="B104" s="299">
        <f>B101</f>
        <v>-0.25952106032947864</v>
      </c>
      <c r="C104" s="299">
        <f t="shared" ref="C104:AP104" si="18">B104+C101</f>
        <v>-0.52096390691980776</v>
      </c>
      <c r="D104" s="299">
        <f t="shared" si="18"/>
        <v>-0.77861772674795826</v>
      </c>
      <c r="E104" s="299">
        <f t="shared" si="18"/>
        <v>-1.0325374332452661</v>
      </c>
      <c r="F104" s="299">
        <f t="shared" si="18"/>
        <v>-1.2827771439962361</v>
      </c>
      <c r="G104" s="299">
        <f t="shared" si="18"/>
        <v>-1.5293901922725546</v>
      </c>
      <c r="H104" s="299">
        <f t="shared" si="18"/>
        <v>-1.7724291383999409</v>
      </c>
      <c r="I104" s="299">
        <f t="shared" si="18"/>
        <v>-2.0119457809602639</v>
      </c>
      <c r="J104" s="299">
        <f t="shared" si="18"/>
        <v>-2.2479911678313065</v>
      </c>
      <c r="K104" s="299">
        <f t="shared" si="18"/>
        <v>-2.4806156070665368</v>
      </c>
      <c r="L104" s="299">
        <f t="shared" si="18"/>
        <v>-2.709868677617199</v>
      </c>
      <c r="M104" s="299">
        <f t="shared" si="18"/>
        <v>-2.9357992398990107</v>
      </c>
      <c r="N104" s="299">
        <f t="shared" si="18"/>
        <v>-3.1584554462057239</v>
      </c>
      <c r="O104" s="299">
        <f t="shared" si="18"/>
        <v>-3.3778847509717602</v>
      </c>
      <c r="P104" s="299">
        <f t="shared" si="18"/>
        <v>-3.5941339208861147</v>
      </c>
      <c r="Q104" s="299">
        <f t="shared" si="18"/>
        <v>-3.8072490448596814</v>
      </c>
      <c r="R104" s="299">
        <f t="shared" si="18"/>
        <v>-4.0172755438481245</v>
      </c>
      <c r="S104" s="299">
        <f t="shared" si="18"/>
        <v>-4.2242581805323871</v>
      </c>
      <c r="T104" s="299">
        <f t="shared" si="18"/>
        <v>-4.428241068858906</v>
      </c>
      <c r="U104" s="299">
        <f t="shared" si="18"/>
        <v>-4.6292676834415634</v>
      </c>
      <c r="V104" s="299">
        <f t="shared" si="18"/>
        <v>-4.8273808688273698</v>
      </c>
      <c r="W104" s="299">
        <f t="shared" si="18"/>
        <v>-5.0226228486278748</v>
      </c>
      <c r="X104" s="299">
        <f t="shared" si="18"/>
        <v>-5.2150352345182283</v>
      </c>
      <c r="Y104" s="299">
        <f t="shared" si="18"/>
        <v>-5.4046590351058228</v>
      </c>
      <c r="Z104" s="299">
        <f t="shared" si="18"/>
        <v>-5.5915346646704087</v>
      </c>
      <c r="AA104" s="299">
        <f t="shared" si="18"/>
        <v>-5.7757019517775365</v>
      </c>
      <c r="AB104" s="299">
        <f t="shared" si="18"/>
        <v>-5.9572001477671703</v>
      </c>
      <c r="AC104" s="299">
        <f t="shared" si="18"/>
        <v>-6.1360679351192724</v>
      </c>
      <c r="AD104" s="299">
        <f t="shared" si="18"/>
        <v>-6.312343435698156</v>
      </c>
      <c r="AE104" s="299">
        <f t="shared" si="18"/>
        <v>-6.4860642188773454</v>
      </c>
      <c r="AF104" s="299">
        <f t="shared" si="18"/>
        <v>-6.6572673095466914</v>
      </c>
      <c r="AG104" s="299">
        <f t="shared" si="18"/>
        <v>-6.8259891960034382</v>
      </c>
      <c r="AH104" s="299">
        <f t="shared" si="18"/>
        <v>-6.9922658377289277</v>
      </c>
      <c r="AI104" s="299">
        <f t="shared" si="18"/>
        <v>-7.1561326730525989</v>
      </c>
      <c r="AJ104" s="299">
        <f t="shared" si="18"/>
        <v>-7.3176246267049123</v>
      </c>
      <c r="AK104" s="299">
        <f t="shared" si="18"/>
        <v>-7.4767761172608154</v>
      </c>
      <c r="AL104" s="299">
        <f t="shared" si="18"/>
        <v>-7.6336210644753288</v>
      </c>
      <c r="AM104" s="299">
        <f t="shared" si="18"/>
        <v>-7.7881928965128209</v>
      </c>
      <c r="AN104" s="299">
        <f t="shared" si="18"/>
        <v>-7.9405245570715079</v>
      </c>
      <c r="AO104" s="299">
        <f t="shared" si="18"/>
        <v>-8.0906485124047069</v>
      </c>
      <c r="AP104" s="299">
        <f t="shared" si="18"/>
        <v>-8.2385967582403232</v>
      </c>
      <c r="AW104" s="299"/>
      <c r="AY104" s="299"/>
      <c r="AZ104" s="299"/>
      <c r="BA104" s="299"/>
      <c r="BB104" s="299"/>
      <c r="BC104" s="299"/>
      <c r="BD104" s="299"/>
      <c r="BE104" s="299"/>
      <c r="BF104" s="299"/>
      <c r="BG104" s="299"/>
      <c r="BH104" s="299"/>
      <c r="BI104" s="299"/>
      <c r="BJ104" s="299"/>
      <c r="BK104" s="299"/>
      <c r="BL104" s="299"/>
      <c r="BM104" s="299"/>
      <c r="BQ104" s="299"/>
      <c r="BS104" s="299"/>
      <c r="BU104" s="299"/>
      <c r="BV104" s="299"/>
      <c r="BW104" s="299"/>
      <c r="BX104" s="299"/>
    </row>
    <row r="105" spans="1:76" x14ac:dyDescent="0.25">
      <c r="AN105"/>
    </row>
    <row r="106" spans="1:76" s="26" customFormat="1" x14ac:dyDescent="0.25">
      <c r="A106" s="26" t="s">
        <v>361</v>
      </c>
      <c r="B106" s="40">
        <f>IF(Diskontering!B16&lt;=Diskontering!$A$5,($A$73*B82),0)</f>
        <v>0</v>
      </c>
      <c r="C106" s="40">
        <f>IF(Diskontering!C16&lt;=Diskontering!$A$5,($A$73*C82),0)</f>
        <v>0</v>
      </c>
      <c r="D106" s="40">
        <f>IF(Diskontering!D16&lt;=Diskontering!$A$5,($A$73*D82),0)</f>
        <v>0</v>
      </c>
      <c r="E106" s="40">
        <f>IF(Diskontering!E16&lt;=Diskontering!$A$5,($A$73*E82),0)</f>
        <v>0</v>
      </c>
      <c r="F106" s="40">
        <f>IF(Diskontering!F16&lt;=Diskontering!$A$5,($A$73*F82),0)</f>
        <v>0</v>
      </c>
      <c r="G106" s="40">
        <f>IF(Diskontering!G16&lt;=Diskontering!$A$5,($A$73*G82),0)</f>
        <v>0</v>
      </c>
      <c r="H106" s="40">
        <f>IF(Diskontering!H16&lt;=Diskontering!$A$5,($A$73*H82),0)</f>
        <v>0</v>
      </c>
      <c r="I106" s="40">
        <f>IF(Diskontering!I16&lt;=Diskontering!$A$5,($A$73*I82),0)</f>
        <v>0</v>
      </c>
      <c r="J106" s="40">
        <f>IF(Diskontering!J16&lt;=Diskontering!$A$5,($A$73*J82),0)</f>
        <v>0</v>
      </c>
      <c r="K106" s="40">
        <f>IF(Diskontering!K16&lt;=Diskontering!$A$5,($A$73*K82),0)</f>
        <v>0</v>
      </c>
      <c r="L106" s="40">
        <f>IF(Diskontering!L16&lt;=Diskontering!$A$5,($A$73*L82),0)</f>
        <v>0</v>
      </c>
      <c r="M106" s="40">
        <f>IF(Diskontering!M16&lt;=Diskontering!$A$5,($A$73*M82),0)</f>
        <v>0</v>
      </c>
      <c r="N106" s="40">
        <f>IF(Diskontering!N16&lt;=Diskontering!$A$5,($A$73*N82),0)</f>
        <v>0</v>
      </c>
      <c r="O106" s="40">
        <f>IF(Diskontering!O16&lt;=Diskontering!$A$5,($A$73*O82),0)</f>
        <v>0</v>
      </c>
      <c r="P106" s="40">
        <f>IF(Diskontering!P16&lt;=Diskontering!$A$5,($A$73*P82),0)</f>
        <v>0</v>
      </c>
      <c r="Q106" s="40">
        <f>IF(Diskontering!Q16&lt;=Diskontering!$A$5,($A$73*Q82),0)</f>
        <v>0</v>
      </c>
      <c r="R106" s="40">
        <f>IF(Diskontering!R16&lt;=Diskontering!$A$5,($A$73*R82),0)</f>
        <v>0</v>
      </c>
      <c r="S106" s="40">
        <f>IF(Diskontering!S16&lt;=Diskontering!$A$5,($A$73*S82),0)</f>
        <v>0</v>
      </c>
      <c r="T106" s="40">
        <f>IF(Diskontering!T16&lt;=Diskontering!$A$5,($A$73*T82),0)</f>
        <v>0</v>
      </c>
      <c r="U106" s="40">
        <f>IF(Diskontering!U16&lt;=Diskontering!$A$5,($A$73*U82),0)</f>
        <v>0</v>
      </c>
      <c r="V106" s="40">
        <f>IF(Diskontering!V16&lt;=Diskontering!$A$5,($A$73*V82),0)</f>
        <v>0</v>
      </c>
      <c r="W106" s="40">
        <f>IF(Diskontering!W16&lt;=Diskontering!$A$5,($A$73*W82),0)</f>
        <v>0</v>
      </c>
      <c r="X106" s="40">
        <f>IF(Diskontering!X16&lt;=Diskontering!$A$5,($A$73*X82),0)</f>
        <v>0</v>
      </c>
      <c r="Y106" s="40">
        <f>IF(Diskontering!Y16&lt;=Diskontering!$A$5,($A$73*Y82),0)</f>
        <v>0</v>
      </c>
      <c r="Z106" s="40">
        <f>IF(Diskontering!Z16&lt;=Diskontering!$A$5,($A$73*Z82),0)</f>
        <v>0</v>
      </c>
      <c r="AA106" s="40">
        <f>IF(Diskontering!AA16&lt;=Diskontering!$A$5,($A$73*AA82),0)</f>
        <v>0</v>
      </c>
      <c r="AB106" s="40">
        <f>IF(Diskontering!AB16&lt;=Diskontering!$A$5,($A$73*AB82),0)</f>
        <v>0</v>
      </c>
      <c r="AC106" s="40">
        <f>IF(Diskontering!AC16&lt;=Diskontering!$A$5,($A$73*AC82),0)</f>
        <v>0</v>
      </c>
      <c r="AD106" s="40">
        <f>IF(Diskontering!AD16&lt;=Diskontering!$A$5,($A$73*AD82),0)</f>
        <v>0</v>
      </c>
      <c r="AE106" s="40">
        <f>IF(Diskontering!AE16&lt;=Diskontering!$A$5,($A$73*AE82),0)</f>
        <v>0</v>
      </c>
      <c r="AF106" s="40">
        <f>IF(Diskontering!AF16&lt;=Diskontering!$A$5,($A$73*AF82),0)</f>
        <v>0</v>
      </c>
      <c r="AG106" s="40">
        <f>IF(Diskontering!AG16&lt;=Diskontering!$A$5,($A$73*AG82),0)</f>
        <v>0</v>
      </c>
      <c r="AH106" s="40">
        <f>IF(Diskontering!AH16&lt;=Diskontering!$A$5,($A$73*AH82),0)</f>
        <v>0</v>
      </c>
      <c r="AI106" s="40">
        <f>IF(Diskontering!AI16&lt;=Diskontering!$A$5,($A$73*AI82),0)</f>
        <v>0</v>
      </c>
      <c r="AJ106" s="40">
        <f>IF(Diskontering!AJ16&lt;=Diskontering!$A$5,($A$73*AJ82),0)</f>
        <v>0</v>
      </c>
      <c r="AK106" s="40">
        <f>IF(Diskontering!AK16&lt;=Diskontering!$A$5,($A$73*AK82),0)</f>
        <v>0</v>
      </c>
      <c r="AL106" s="40">
        <f>IF(Diskontering!AL16&lt;=Diskontering!$A$5,($A$73*AL82),0)</f>
        <v>0</v>
      </c>
      <c r="AM106" s="40">
        <f>IF(Diskontering!AM16&lt;=Diskontering!$A$5,($A$73*AM82),0)</f>
        <v>0</v>
      </c>
      <c r="AN106" s="40">
        <f>IF(Diskontering!AN16&lt;=Diskontering!$A$5,($A$73*AN82),0)</f>
        <v>0</v>
      </c>
      <c r="AO106" s="40">
        <f>IF(Diskontering!AO16&lt;=Diskontering!$A$5,($A$73*AO82),0)</f>
        <v>0</v>
      </c>
      <c r="AP106" s="40">
        <f>IF(Diskontering!AP16&lt;=Diskontering!$A$5,($A$73*AP82),0)</f>
        <v>0</v>
      </c>
      <c r="AW106" s="40"/>
      <c r="AY106" s="40"/>
      <c r="AZ106" s="40"/>
      <c r="BA106" s="40"/>
      <c r="BB106" s="40"/>
      <c r="BC106" s="40"/>
      <c r="BD106" s="40"/>
      <c r="BE106" s="40"/>
      <c r="BF106" s="40"/>
      <c r="BG106" s="40"/>
      <c r="BH106" s="40"/>
      <c r="BI106" s="40"/>
      <c r="BJ106" s="40"/>
      <c r="BK106" s="40"/>
      <c r="BL106" s="40"/>
      <c r="BM106" s="40"/>
      <c r="BQ106" s="40"/>
      <c r="BS106" s="40"/>
      <c r="BU106" s="275"/>
      <c r="BV106" s="275"/>
      <c r="BW106" s="40"/>
      <c r="BX106" s="40"/>
    </row>
    <row r="107" spans="1:76" x14ac:dyDescent="0.25">
      <c r="AN107"/>
    </row>
    <row r="108" spans="1:76" s="222" customFormat="1" ht="12.75" x14ac:dyDescent="0.2">
      <c r="A108" s="222" t="s">
        <v>362</v>
      </c>
      <c r="B108" s="299">
        <f>B106</f>
        <v>0</v>
      </c>
      <c r="C108" s="293">
        <f>B108+C106</f>
        <v>0</v>
      </c>
      <c r="D108" s="293">
        <f t="shared" ref="D108:AL108" si="19">C108+D106</f>
        <v>0</v>
      </c>
      <c r="E108" s="293">
        <f t="shared" si="19"/>
        <v>0</v>
      </c>
      <c r="F108" s="293">
        <f t="shared" si="19"/>
        <v>0</v>
      </c>
      <c r="G108" s="293">
        <f t="shared" si="19"/>
        <v>0</v>
      </c>
      <c r="H108" s="293">
        <f t="shared" si="19"/>
        <v>0</v>
      </c>
      <c r="I108" s="293">
        <f t="shared" si="19"/>
        <v>0</v>
      </c>
      <c r="J108" s="293">
        <f t="shared" si="19"/>
        <v>0</v>
      </c>
      <c r="K108" s="293">
        <f t="shared" si="19"/>
        <v>0</v>
      </c>
      <c r="L108" s="293">
        <f t="shared" si="19"/>
        <v>0</v>
      </c>
      <c r="M108" s="293">
        <f t="shared" si="19"/>
        <v>0</v>
      </c>
      <c r="N108" s="293">
        <f t="shared" si="19"/>
        <v>0</v>
      </c>
      <c r="O108" s="293">
        <f t="shared" si="19"/>
        <v>0</v>
      </c>
      <c r="P108" s="293">
        <f t="shared" si="19"/>
        <v>0</v>
      </c>
      <c r="Q108" s="293">
        <f t="shared" si="19"/>
        <v>0</v>
      </c>
      <c r="R108" s="293">
        <f t="shared" si="19"/>
        <v>0</v>
      </c>
      <c r="S108" s="293">
        <f t="shared" si="19"/>
        <v>0</v>
      </c>
      <c r="T108" s="293">
        <f t="shared" si="19"/>
        <v>0</v>
      </c>
      <c r="U108" s="293">
        <f t="shared" si="19"/>
        <v>0</v>
      </c>
      <c r="V108" s="293">
        <f t="shared" si="19"/>
        <v>0</v>
      </c>
      <c r="W108" s="293">
        <f t="shared" si="19"/>
        <v>0</v>
      </c>
      <c r="X108" s="293">
        <f t="shared" si="19"/>
        <v>0</v>
      </c>
      <c r="Y108" s="293">
        <f t="shared" si="19"/>
        <v>0</v>
      </c>
      <c r="Z108" s="293">
        <f t="shared" si="19"/>
        <v>0</v>
      </c>
      <c r="AA108" s="293">
        <f t="shared" si="19"/>
        <v>0</v>
      </c>
      <c r="AB108" s="293">
        <f t="shared" si="19"/>
        <v>0</v>
      </c>
      <c r="AC108" s="293">
        <f t="shared" si="19"/>
        <v>0</v>
      </c>
      <c r="AD108" s="293">
        <f t="shared" si="19"/>
        <v>0</v>
      </c>
      <c r="AE108" s="293">
        <f t="shared" si="19"/>
        <v>0</v>
      </c>
      <c r="AF108" s="293">
        <f t="shared" si="19"/>
        <v>0</v>
      </c>
      <c r="AG108" s="293">
        <f t="shared" si="19"/>
        <v>0</v>
      </c>
      <c r="AH108" s="293">
        <f t="shared" si="19"/>
        <v>0</v>
      </c>
      <c r="AI108" s="293">
        <f t="shared" si="19"/>
        <v>0</v>
      </c>
      <c r="AJ108" s="293">
        <f t="shared" si="19"/>
        <v>0</v>
      </c>
      <c r="AK108" s="293">
        <f t="shared" si="19"/>
        <v>0</v>
      </c>
      <c r="AL108" s="293">
        <f t="shared" si="19"/>
        <v>0</v>
      </c>
      <c r="AM108" s="293">
        <f>AL108+AM106</f>
        <v>0</v>
      </c>
      <c r="AN108" s="293">
        <f>AM108+AN106</f>
        <v>0</v>
      </c>
      <c r="AO108" s="293">
        <f>AN108+AO106</f>
        <v>0</v>
      </c>
      <c r="AP108" s="293">
        <f>AO108+AP106</f>
        <v>0</v>
      </c>
      <c r="AW108" s="213"/>
      <c r="AY108" s="213"/>
      <c r="AZ108" s="213"/>
      <c r="BA108" s="213"/>
      <c r="BB108" s="213"/>
      <c r="BC108" s="213"/>
      <c r="BD108" s="213"/>
      <c r="BE108" s="213"/>
      <c r="BF108" s="213"/>
      <c r="BG108" s="213"/>
      <c r="BH108" s="213"/>
      <c r="BI108" s="213"/>
      <c r="BJ108" s="213"/>
      <c r="BK108" s="213"/>
      <c r="BL108" s="213"/>
      <c r="BM108" s="213"/>
      <c r="BQ108" s="213"/>
      <c r="BS108" s="213"/>
      <c r="BU108" s="287"/>
      <c r="BV108" s="287"/>
      <c r="BW108" s="213"/>
      <c r="BX108" s="213"/>
    </row>
    <row r="109" spans="1:76" x14ac:dyDescent="0.25">
      <c r="AN109"/>
    </row>
    <row r="110" spans="1:76" s="357" customFormat="1" ht="18" x14ac:dyDescent="0.25">
      <c r="A110" s="357" t="s">
        <v>363</v>
      </c>
      <c r="B110" s="358">
        <f>B91+B104+B108</f>
        <v>1.1550691963035105</v>
      </c>
      <c r="C110" s="358">
        <f t="shared" ref="C110:AP110" si="20">C91+C104+C108</f>
        <v>2.2877152982790259</v>
      </c>
      <c r="D110" s="358">
        <f t="shared" si="20"/>
        <v>3.4039462393563449</v>
      </c>
      <c r="E110" s="358">
        <f t="shared" si="20"/>
        <v>4.5039999204180514</v>
      </c>
      <c r="F110" s="358">
        <f t="shared" si="20"/>
        <v>5.5881107945078483</v>
      </c>
      <c r="G110" s="358">
        <f t="shared" si="20"/>
        <v>6.6565099167992443</v>
      </c>
      <c r="H110" s="358">
        <f t="shared" si="20"/>
        <v>7.7094249938400399</v>
      </c>
      <c r="I110" s="358">
        <f t="shared" si="20"/>
        <v>8.7470804320831412</v>
      </c>
      <c r="J110" s="358">
        <f t="shared" si="20"/>
        <v>9.769697385714025</v>
      </c>
      <c r="K110" s="358">
        <f t="shared" si="20"/>
        <v>10.777493803785042</v>
      </c>
      <c r="L110" s="358">
        <f t="shared" si="20"/>
        <v>11.770684476666624</v>
      </c>
      <c r="M110" s="358">
        <f t="shared" si="20"/>
        <v>12.749481081825284</v>
      </c>
      <c r="N110" s="358">
        <f t="shared" si="20"/>
        <v>13.714092228938163</v>
      </c>
      <c r="O110" s="358">
        <f t="shared" si="20"/>
        <v>14.664723504353759</v>
      </c>
      <c r="P110" s="358">
        <f t="shared" si="20"/>
        <v>15.601577514908257</v>
      </c>
      <c r="Q110" s="358">
        <f t="shared" si="20"/>
        <v>16.524853931106893</v>
      </c>
      <c r="R110" s="358">
        <f t="shared" si="20"/>
        <v>17.434749529679461</v>
      </c>
      <c r="S110" s="358">
        <f t="shared" si="20"/>
        <v>18.331458235519094</v>
      </c>
      <c r="T110" s="358">
        <f t="shared" si="20"/>
        <v>19.215171163013228</v>
      </c>
      <c r="U110" s="358">
        <f t="shared" si="20"/>
        <v>20.08607665677556</v>
      </c>
      <c r="V110" s="358">
        <f t="shared" si="20"/>
        <v>20.944360331787713</v>
      </c>
      <c r="W110" s="358">
        <f t="shared" si="20"/>
        <v>21.790205112959111</v>
      </c>
      <c r="X110" s="358">
        <f t="shared" si="20"/>
        <v>22.623791274113533</v>
      </c>
      <c r="Y110" s="358">
        <f t="shared" si="20"/>
        <v>23.445296476410643</v>
      </c>
      <c r="Z110" s="358">
        <f t="shared" si="20"/>
        <v>24.254895806210694</v>
      </c>
      <c r="AA110" s="358">
        <f t="shared" si="20"/>
        <v>25.052761812390457</v>
      </c>
      <c r="AB110" s="358">
        <f t="shared" si="20"/>
        <v>25.839064543118337</v>
      </c>
      <c r="AC110" s="358">
        <f t="shared" si="20"/>
        <v>26.613971582096539</v>
      </c>
      <c r="AD110" s="358">
        <f t="shared" si="20"/>
        <v>27.377648084277954</v>
      </c>
      <c r="AE110" s="358">
        <f t="shared" si="20"/>
        <v>28.130256811065436</v>
      </c>
      <c r="AF110" s="358">
        <f t="shared" si="20"/>
        <v>28.871958165000926</v>
      </c>
      <c r="AG110" s="358">
        <f t="shared" si="20"/>
        <v>29.602910223951842</v>
      </c>
      <c r="AH110" s="358">
        <f t="shared" si="20"/>
        <v>30.323268774802017</v>
      </c>
      <c r="AI110" s="358">
        <f t="shared" si="20"/>
        <v>31.033187346654369</v>
      </c>
      <c r="AJ110" s="358">
        <f t="shared" si="20"/>
        <v>31.73281724355234</v>
      </c>
      <c r="AK110" s="358">
        <f t="shared" si="20"/>
        <v>32.42230757672715</v>
      </c>
      <c r="AL110" s="358">
        <f t="shared" si="20"/>
        <v>33.101805296377691</v>
      </c>
      <c r="AM110" s="358">
        <f t="shared" si="20"/>
        <v>33.771455222989815</v>
      </c>
      <c r="AN110" s="358">
        <f t="shared" si="20"/>
        <v>34.431400078201762</v>
      </c>
      <c r="AO110" s="358">
        <f t="shared" si="20"/>
        <v>35.081780515222235</v>
      </c>
      <c r="AP110" s="358">
        <f t="shared" si="20"/>
        <v>35.722735148807629</v>
      </c>
      <c r="AW110" s="359"/>
      <c r="AY110" s="359"/>
      <c r="AZ110" s="359"/>
      <c r="BA110" s="359"/>
      <c r="BB110" s="359"/>
      <c r="BC110" s="359"/>
      <c r="BD110" s="359"/>
      <c r="BE110" s="359"/>
      <c r="BF110" s="359"/>
      <c r="BG110" s="359"/>
      <c r="BH110" s="359"/>
      <c r="BI110" s="359"/>
      <c r="BJ110" s="359"/>
      <c r="BK110" s="359"/>
      <c r="BL110" s="359"/>
      <c r="BM110" s="359"/>
      <c r="BQ110" s="359"/>
      <c r="BS110" s="359"/>
      <c r="BU110" s="360"/>
      <c r="BV110" s="360"/>
      <c r="BW110" s="359"/>
      <c r="BX110" s="359"/>
    </row>
    <row r="112" spans="1:76" ht="15.75" thickBot="1" x14ac:dyDescent="0.3"/>
    <row r="113" spans="1:3" ht="15.75" x14ac:dyDescent="0.25">
      <c r="A113" s="342" t="s">
        <v>267</v>
      </c>
      <c r="B113" s="343"/>
      <c r="C113" s="344"/>
    </row>
    <row r="114" spans="1:3" x14ac:dyDescent="0.25">
      <c r="A114" s="345" t="s">
        <v>669</v>
      </c>
      <c r="B114" s="346"/>
      <c r="C114" s="347"/>
    </row>
    <row r="115" spans="1:3" x14ac:dyDescent="0.25">
      <c r="A115" s="348"/>
      <c r="B115" s="346"/>
      <c r="C115" s="347"/>
    </row>
    <row r="116" spans="1:3" x14ac:dyDescent="0.25">
      <c r="A116" s="349" t="s">
        <v>364</v>
      </c>
      <c r="B116" s="346"/>
      <c r="C116" s="347"/>
    </row>
    <row r="117" spans="1:3" x14ac:dyDescent="0.25">
      <c r="A117" s="348" t="s">
        <v>333</v>
      </c>
      <c r="B117" s="350">
        <f>SUM(B86:AP86)</f>
        <v>43.963345127979181</v>
      </c>
      <c r="C117" s="347"/>
    </row>
    <row r="118" spans="1:3" x14ac:dyDescent="0.25">
      <c r="A118" s="348" t="s">
        <v>276</v>
      </c>
      <c r="B118" s="350">
        <f>SUM(B87:AP87)</f>
        <v>-2.0132209312224694E-3</v>
      </c>
      <c r="C118" s="347"/>
    </row>
    <row r="119" spans="1:3" x14ac:dyDescent="0.25">
      <c r="A119" s="348"/>
      <c r="B119" s="346"/>
      <c r="C119" s="347"/>
    </row>
    <row r="120" spans="1:3" x14ac:dyDescent="0.25">
      <c r="A120" s="349" t="s">
        <v>335</v>
      </c>
      <c r="B120" s="346"/>
      <c r="C120" s="347"/>
    </row>
    <row r="121" spans="1:3" x14ac:dyDescent="0.25">
      <c r="A121" s="348" t="s">
        <v>111</v>
      </c>
      <c r="B121" s="351">
        <f>SUM(B101:AP101)</f>
        <v>-8.2385967582403232</v>
      </c>
      <c r="C121" s="347"/>
    </row>
    <row r="122" spans="1:3" x14ac:dyDescent="0.25">
      <c r="A122" s="348"/>
      <c r="B122" s="346"/>
      <c r="C122" s="347"/>
    </row>
    <row r="123" spans="1:3" x14ac:dyDescent="0.25">
      <c r="A123" s="349" t="s">
        <v>365</v>
      </c>
      <c r="B123" s="346"/>
      <c r="C123" s="347"/>
    </row>
    <row r="124" spans="1:3" x14ac:dyDescent="0.25">
      <c r="A124" s="348" t="s">
        <v>366</v>
      </c>
      <c r="B124" s="352">
        <f>SUM(B106:AP106)</f>
        <v>0</v>
      </c>
      <c r="C124" s="347"/>
    </row>
    <row r="125" spans="1:3" x14ac:dyDescent="0.25">
      <c r="A125" s="348"/>
      <c r="B125" s="346"/>
      <c r="C125" s="347"/>
    </row>
    <row r="126" spans="1:3" ht="15.75" thickBot="1" x14ac:dyDescent="0.3">
      <c r="A126" s="353" t="s">
        <v>106</v>
      </c>
      <c r="B126" s="354">
        <f>SUM(B117:B124)</f>
        <v>35.722735148807629</v>
      </c>
      <c r="C126" s="355"/>
    </row>
  </sheetData>
  <mergeCells count="3">
    <mergeCell ref="AR6:AS6"/>
    <mergeCell ref="AT6:AU6"/>
    <mergeCell ref="AC9:AH9"/>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6"/>
  <sheetViews>
    <sheetView topLeftCell="A13" workbookViewId="0">
      <selection activeCell="H71" sqref="H71"/>
    </sheetView>
  </sheetViews>
  <sheetFormatPr defaultRowHeight="15" x14ac:dyDescent="0.25"/>
  <cols>
    <col min="9" max="9" width="24.140625" customWidth="1"/>
    <col min="10" max="10" width="17.42578125" customWidth="1"/>
    <col min="11" max="11" width="14.140625" customWidth="1"/>
    <col min="12" max="12" width="13.85546875" customWidth="1"/>
    <col min="14" max="14" width="27.140625" customWidth="1"/>
  </cols>
  <sheetData>
    <row r="2" spans="1:15" x14ac:dyDescent="0.25">
      <c r="A2" t="s">
        <v>627</v>
      </c>
    </row>
    <row r="3" spans="1:15" x14ac:dyDescent="0.25">
      <c r="A3" t="s">
        <v>628</v>
      </c>
    </row>
    <row r="4" spans="1:15" x14ac:dyDescent="0.25">
      <c r="A4" t="s">
        <v>629</v>
      </c>
    </row>
    <row r="6" spans="1:15" x14ac:dyDescent="0.25">
      <c r="A6" t="s">
        <v>665</v>
      </c>
    </row>
    <row r="9" spans="1:15" x14ac:dyDescent="0.25">
      <c r="A9" t="s">
        <v>630</v>
      </c>
    </row>
    <row r="12" spans="1:15" ht="18.75" x14ac:dyDescent="0.3">
      <c r="A12" s="328" t="s">
        <v>631</v>
      </c>
      <c r="B12" s="329" t="s">
        <v>632</v>
      </c>
    </row>
    <row r="14" spans="1:15" x14ac:dyDescent="0.25">
      <c r="B14" t="s">
        <v>624</v>
      </c>
      <c r="F14" s="143" t="s">
        <v>625</v>
      </c>
      <c r="M14" t="s">
        <v>626</v>
      </c>
    </row>
    <row r="15" spans="1:15" x14ac:dyDescent="0.25">
      <c r="D15" t="s">
        <v>634</v>
      </c>
      <c r="H15" t="s">
        <v>635</v>
      </c>
    </row>
    <row r="16" spans="1:15" x14ac:dyDescent="0.25">
      <c r="A16" s="328" t="s">
        <v>258</v>
      </c>
      <c r="O16" t="s">
        <v>633</v>
      </c>
    </row>
    <row r="17" spans="1:15" x14ac:dyDescent="0.25">
      <c r="D17" t="s">
        <v>643</v>
      </c>
      <c r="H17" t="s">
        <v>642</v>
      </c>
    </row>
    <row r="19" spans="1:15" x14ac:dyDescent="0.25">
      <c r="A19" s="328" t="s">
        <v>636</v>
      </c>
      <c r="B19" t="s">
        <v>624</v>
      </c>
      <c r="F19" s="143" t="s">
        <v>638</v>
      </c>
      <c r="M19" t="s">
        <v>626</v>
      </c>
    </row>
    <row r="20" spans="1:15" x14ac:dyDescent="0.25">
      <c r="D20" t="s">
        <v>637</v>
      </c>
      <c r="H20" t="s">
        <v>635</v>
      </c>
    </row>
    <row r="21" spans="1:15" x14ac:dyDescent="0.25">
      <c r="O21" t="s">
        <v>639</v>
      </c>
    </row>
    <row r="22" spans="1:15" x14ac:dyDescent="0.25">
      <c r="D22" t="s">
        <v>641</v>
      </c>
      <c r="H22" t="s">
        <v>642</v>
      </c>
    </row>
    <row r="23" spans="1:15" ht="51.75" x14ac:dyDescent="0.25">
      <c r="B23" s="199" t="s">
        <v>278</v>
      </c>
      <c r="C23" s="200" t="s">
        <v>575</v>
      </c>
      <c r="D23" s="45" t="s">
        <v>279</v>
      </c>
      <c r="E23" s="45" t="s">
        <v>666</v>
      </c>
      <c r="F23" s="45" t="s">
        <v>667</v>
      </c>
      <c r="G23" s="45" t="s">
        <v>281</v>
      </c>
      <c r="H23" s="45" t="s">
        <v>282</v>
      </c>
      <c r="I23" s="363" t="s">
        <v>644</v>
      </c>
      <c r="J23" s="363" t="s">
        <v>691</v>
      </c>
      <c r="K23" s="201" t="s">
        <v>645</v>
      </c>
      <c r="L23" s="200" t="s">
        <v>285</v>
      </c>
      <c r="M23" s="200" t="s">
        <v>646</v>
      </c>
      <c r="N23" s="281" t="s">
        <v>678</v>
      </c>
    </row>
    <row r="24" spans="1:15" ht="68.25" x14ac:dyDescent="0.25">
      <c r="B24" s="364"/>
      <c r="C24" s="364"/>
      <c r="D24" s="364"/>
      <c r="E24" s="364"/>
      <c r="F24" s="364"/>
      <c r="G24" s="364"/>
      <c r="H24" s="364"/>
      <c r="I24" s="365" t="s">
        <v>693</v>
      </c>
      <c r="J24" s="364" t="s">
        <v>692</v>
      </c>
      <c r="K24" s="364"/>
      <c r="L24" s="364"/>
      <c r="M24" s="364"/>
      <c r="N24" s="364" t="s">
        <v>690</v>
      </c>
    </row>
    <row r="25" spans="1:15" x14ac:dyDescent="0.25">
      <c r="B25" s="326" t="s">
        <v>616</v>
      </c>
      <c r="C25" s="309">
        <v>100</v>
      </c>
      <c r="D25" s="309">
        <v>50</v>
      </c>
      <c r="E25" s="310">
        <v>70</v>
      </c>
      <c r="F25" s="310"/>
      <c r="G25" s="309">
        <v>0</v>
      </c>
      <c r="H25" s="310">
        <v>1</v>
      </c>
      <c r="I25" s="307">
        <v>50</v>
      </c>
      <c r="J25" s="59"/>
      <c r="K25" s="309"/>
      <c r="L25" s="309"/>
      <c r="M25" s="309">
        <v>1</v>
      </c>
      <c r="N25" s="309">
        <v>0</v>
      </c>
    </row>
    <row r="26" spans="1:15" x14ac:dyDescent="0.25">
      <c r="B26" s="327" t="s">
        <v>617</v>
      </c>
      <c r="C26" s="309">
        <v>100</v>
      </c>
      <c r="D26" s="309">
        <v>50</v>
      </c>
      <c r="E26" s="310">
        <v>250</v>
      </c>
      <c r="F26" s="310"/>
      <c r="G26" s="309"/>
      <c r="H26" s="310">
        <v>3</v>
      </c>
      <c r="I26" s="307">
        <v>0</v>
      </c>
      <c r="J26" s="59"/>
      <c r="K26" s="309"/>
      <c r="L26" s="309"/>
      <c r="M26" s="309">
        <v>0</v>
      </c>
      <c r="N26" s="309">
        <v>1</v>
      </c>
    </row>
    <row r="27" spans="1:15" x14ac:dyDescent="0.25">
      <c r="B27" s="327"/>
      <c r="C27" s="309"/>
      <c r="D27" s="309"/>
      <c r="E27" s="310"/>
      <c r="F27" s="310"/>
      <c r="G27" s="309"/>
      <c r="H27" s="310"/>
      <c r="I27" s="307"/>
      <c r="J27" s="59"/>
      <c r="K27" s="309"/>
      <c r="L27" s="309"/>
      <c r="M27" s="309"/>
      <c r="N27" s="309"/>
    </row>
    <row r="28" spans="1:15" x14ac:dyDescent="0.25">
      <c r="I28" s="334"/>
      <c r="J28" s="334"/>
    </row>
    <row r="31" spans="1:15" ht="18.75" x14ac:dyDescent="0.3">
      <c r="A31" s="328" t="s">
        <v>647</v>
      </c>
      <c r="B31" s="329" t="s">
        <v>648</v>
      </c>
    </row>
    <row r="33" spans="1:15" x14ac:dyDescent="0.25">
      <c r="B33" t="s">
        <v>624</v>
      </c>
      <c r="F33" s="143" t="s">
        <v>625</v>
      </c>
      <c r="M33" t="s">
        <v>626</v>
      </c>
    </row>
    <row r="34" spans="1:15" x14ac:dyDescent="0.25">
      <c r="D34" t="s">
        <v>634</v>
      </c>
      <c r="H34" t="s">
        <v>635</v>
      </c>
    </row>
    <row r="35" spans="1:15" x14ac:dyDescent="0.25">
      <c r="A35" s="328" t="s">
        <v>258</v>
      </c>
      <c r="O35" t="s">
        <v>633</v>
      </c>
    </row>
    <row r="36" spans="1:15" x14ac:dyDescent="0.25">
      <c r="D36" t="s">
        <v>643</v>
      </c>
      <c r="H36" t="s">
        <v>642</v>
      </c>
    </row>
    <row r="38" spans="1:15" x14ac:dyDescent="0.25">
      <c r="A38" s="328" t="s">
        <v>650</v>
      </c>
      <c r="B38" t="s">
        <v>624</v>
      </c>
      <c r="F38" s="143" t="s">
        <v>625</v>
      </c>
      <c r="M38" t="s">
        <v>626</v>
      </c>
    </row>
    <row r="39" spans="1:15" x14ac:dyDescent="0.25">
      <c r="D39" t="s">
        <v>637</v>
      </c>
      <c r="H39" t="s">
        <v>637</v>
      </c>
    </row>
    <row r="40" spans="1:15" x14ac:dyDescent="0.25">
      <c r="O40" t="s">
        <v>649</v>
      </c>
    </row>
    <row r="41" spans="1:15" x14ac:dyDescent="0.25">
      <c r="D41" t="s">
        <v>641</v>
      </c>
      <c r="H41" t="s">
        <v>651</v>
      </c>
    </row>
    <row r="42" spans="1:15" ht="51.75" x14ac:dyDescent="0.25">
      <c r="B42" s="199" t="s">
        <v>278</v>
      </c>
      <c r="C42" s="200" t="s">
        <v>575</v>
      </c>
      <c r="D42" s="45" t="s">
        <v>279</v>
      </c>
      <c r="E42" s="45" t="s">
        <v>666</v>
      </c>
      <c r="F42" s="45" t="s">
        <v>667</v>
      </c>
      <c r="G42" s="45" t="s">
        <v>281</v>
      </c>
      <c r="H42" s="45" t="s">
        <v>282</v>
      </c>
      <c r="I42" s="55" t="s">
        <v>644</v>
      </c>
      <c r="J42" s="363" t="s">
        <v>691</v>
      </c>
      <c r="K42" s="201" t="s">
        <v>645</v>
      </c>
      <c r="L42" s="200" t="s">
        <v>285</v>
      </c>
      <c r="M42" s="200" t="s">
        <v>646</v>
      </c>
      <c r="N42" s="281" t="s">
        <v>678</v>
      </c>
    </row>
    <row r="43" spans="1:15" ht="68.25" x14ac:dyDescent="0.25">
      <c r="B43" s="327"/>
      <c r="C43" s="327"/>
      <c r="D43" s="327"/>
      <c r="E43" s="327"/>
      <c r="F43" s="327"/>
      <c r="G43" s="327"/>
      <c r="H43" s="327"/>
      <c r="I43" s="365" t="s">
        <v>693</v>
      </c>
      <c r="J43" s="364" t="s">
        <v>692</v>
      </c>
      <c r="K43" s="327"/>
      <c r="L43" s="327"/>
      <c r="M43" s="327"/>
      <c r="N43" s="364" t="s">
        <v>690</v>
      </c>
    </row>
    <row r="44" spans="1:15" x14ac:dyDescent="0.25">
      <c r="B44" s="326" t="s">
        <v>616</v>
      </c>
      <c r="C44" s="309">
        <v>100</v>
      </c>
      <c r="D44" s="309">
        <v>50</v>
      </c>
      <c r="E44" s="310">
        <v>70</v>
      </c>
      <c r="F44" s="310"/>
      <c r="G44" s="309">
        <v>0</v>
      </c>
      <c r="H44" s="310">
        <v>1</v>
      </c>
      <c r="I44" s="307">
        <v>50</v>
      </c>
      <c r="J44" s="59"/>
      <c r="K44" s="309"/>
      <c r="L44" s="309"/>
      <c r="M44" s="309">
        <v>0</v>
      </c>
      <c r="N44" s="309">
        <v>0</v>
      </c>
    </row>
    <row r="45" spans="1:15" x14ac:dyDescent="0.25">
      <c r="B45" s="327" t="s">
        <v>617</v>
      </c>
      <c r="C45" s="309">
        <v>100</v>
      </c>
      <c r="D45" s="309">
        <v>50</v>
      </c>
      <c r="E45" s="310">
        <v>250</v>
      </c>
      <c r="F45" s="310"/>
      <c r="G45" s="309"/>
      <c r="H45" s="310">
        <v>3</v>
      </c>
      <c r="I45" s="307">
        <v>200</v>
      </c>
      <c r="J45" s="59"/>
      <c r="K45" s="309"/>
      <c r="L45" s="309"/>
      <c r="M45" s="309">
        <v>0</v>
      </c>
      <c r="N45" s="309">
        <v>0</v>
      </c>
    </row>
    <row r="46" spans="1:15" x14ac:dyDescent="0.25">
      <c r="B46" s="327"/>
      <c r="C46" s="309"/>
      <c r="D46" s="309"/>
      <c r="E46" s="310"/>
      <c r="F46" s="310"/>
      <c r="G46" s="309"/>
      <c r="H46" s="310"/>
      <c r="I46" s="307"/>
      <c r="J46" s="59"/>
      <c r="K46" s="309"/>
      <c r="L46" s="309"/>
      <c r="M46" s="309"/>
      <c r="N46" s="309"/>
    </row>
  </sheetData>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P72"/>
  <sheetViews>
    <sheetView topLeftCell="A49" workbookViewId="0">
      <selection activeCell="G67" sqref="G66:G67"/>
    </sheetView>
  </sheetViews>
  <sheetFormatPr defaultRowHeight="15" x14ac:dyDescent="0.25"/>
  <cols>
    <col min="1" max="1" width="22.7109375" customWidth="1"/>
    <col min="2" max="2" width="11.7109375" customWidth="1"/>
  </cols>
  <sheetData>
    <row r="6" spans="1:42" s="11" customFormat="1" x14ac:dyDescent="0.25">
      <c r="A6" s="18" t="s">
        <v>207</v>
      </c>
      <c r="B6" s="22">
        <v>2025</v>
      </c>
      <c r="C6" s="11">
        <f>B6+1</f>
        <v>2026</v>
      </c>
      <c r="D6" s="11">
        <f t="shared" ref="D6:AP6" si="0">C6+1</f>
        <v>2027</v>
      </c>
      <c r="E6" s="11">
        <f t="shared" si="0"/>
        <v>2028</v>
      </c>
      <c r="F6" s="11">
        <f t="shared" si="0"/>
        <v>2029</v>
      </c>
      <c r="G6" s="11">
        <f t="shared" si="0"/>
        <v>2030</v>
      </c>
      <c r="H6" s="11">
        <f t="shared" si="0"/>
        <v>2031</v>
      </c>
      <c r="I6" s="11">
        <f t="shared" si="0"/>
        <v>2032</v>
      </c>
      <c r="J6" s="11">
        <f t="shared" si="0"/>
        <v>2033</v>
      </c>
      <c r="K6" s="11">
        <f t="shared" si="0"/>
        <v>2034</v>
      </c>
      <c r="L6" s="11">
        <f t="shared" si="0"/>
        <v>2035</v>
      </c>
      <c r="M6" s="11">
        <f t="shared" si="0"/>
        <v>2036</v>
      </c>
      <c r="N6" s="11">
        <f t="shared" si="0"/>
        <v>2037</v>
      </c>
      <c r="O6" s="11">
        <f t="shared" si="0"/>
        <v>2038</v>
      </c>
      <c r="P6" s="11">
        <f t="shared" si="0"/>
        <v>2039</v>
      </c>
      <c r="Q6" s="11">
        <f t="shared" si="0"/>
        <v>2040</v>
      </c>
      <c r="R6" s="11">
        <f t="shared" si="0"/>
        <v>2041</v>
      </c>
      <c r="S6" s="11">
        <f t="shared" si="0"/>
        <v>2042</v>
      </c>
      <c r="T6" s="11">
        <f t="shared" si="0"/>
        <v>2043</v>
      </c>
      <c r="U6" s="11">
        <f t="shared" si="0"/>
        <v>2044</v>
      </c>
      <c r="V6" s="11">
        <f t="shared" si="0"/>
        <v>2045</v>
      </c>
      <c r="W6" s="11">
        <f t="shared" si="0"/>
        <v>2046</v>
      </c>
      <c r="X6" s="11">
        <f t="shared" si="0"/>
        <v>2047</v>
      </c>
      <c r="Y6" s="11">
        <f t="shared" si="0"/>
        <v>2048</v>
      </c>
      <c r="Z6" s="11">
        <f t="shared" si="0"/>
        <v>2049</v>
      </c>
      <c r="AA6" s="11">
        <f t="shared" si="0"/>
        <v>2050</v>
      </c>
      <c r="AB6" s="11">
        <f t="shared" si="0"/>
        <v>2051</v>
      </c>
      <c r="AC6" s="11">
        <f t="shared" si="0"/>
        <v>2052</v>
      </c>
      <c r="AD6" s="11">
        <f t="shared" si="0"/>
        <v>2053</v>
      </c>
      <c r="AE6" s="11">
        <f t="shared" si="0"/>
        <v>2054</v>
      </c>
      <c r="AF6" s="11">
        <f t="shared" si="0"/>
        <v>2055</v>
      </c>
      <c r="AG6" s="11">
        <f t="shared" si="0"/>
        <v>2056</v>
      </c>
      <c r="AH6" s="11">
        <f t="shared" si="0"/>
        <v>2057</v>
      </c>
      <c r="AI6" s="11">
        <f t="shared" si="0"/>
        <v>2058</v>
      </c>
      <c r="AJ6" s="11">
        <f t="shared" si="0"/>
        <v>2059</v>
      </c>
      <c r="AK6" s="11">
        <f t="shared" si="0"/>
        <v>2060</v>
      </c>
      <c r="AL6" s="11">
        <f t="shared" si="0"/>
        <v>2061</v>
      </c>
      <c r="AM6" s="11">
        <f t="shared" si="0"/>
        <v>2062</v>
      </c>
      <c r="AN6" s="11">
        <f t="shared" si="0"/>
        <v>2063</v>
      </c>
      <c r="AO6" s="11">
        <f t="shared" si="0"/>
        <v>2064</v>
      </c>
      <c r="AP6" s="11">
        <f t="shared" si="0"/>
        <v>2065</v>
      </c>
    </row>
    <row r="7" spans="1:42" s="337" customFormat="1" x14ac:dyDescent="0.25">
      <c r="A7" s="3" t="s">
        <v>671</v>
      </c>
      <c r="B7" s="144">
        <f>Diskontering!B80</f>
        <v>14</v>
      </c>
      <c r="C7" s="144">
        <f>Diskontering!C80</f>
        <v>19.797101449275363</v>
      </c>
      <c r="D7" s="144">
        <f>Diskontering!D80</f>
        <v>32.866251254405007</v>
      </c>
      <c r="E7" s="144">
        <f>Diskontering!E80</f>
        <v>38.277907488413142</v>
      </c>
      <c r="F7" s="144">
        <f>Diskontering!F80</f>
        <v>43.506560854604572</v>
      </c>
      <c r="G7" s="144">
        <f>Diskontering!G80</f>
        <v>46.874453522038671</v>
      </c>
      <c r="H7" s="144">
        <f>Diskontering!H80</f>
        <v>50.128456099269684</v>
      </c>
      <c r="I7" s="144">
        <f>Diskontering!I80</f>
        <v>61.132329548843153</v>
      </c>
      <c r="J7" s="144">
        <f>Diskontering!J80</f>
        <v>64.16997577370816</v>
      </c>
      <c r="K7" s="144">
        <f>Diskontering!K80</f>
        <v>67.104899662466622</v>
      </c>
      <c r="L7" s="144">
        <f>Diskontering!L80</f>
        <v>69.94057491730571</v>
      </c>
      <c r="M7" s="144">
        <f>Diskontering!M80</f>
        <v>72.680357772222706</v>
      </c>
      <c r="N7" s="144">
        <f>Diskontering!N80</f>
        <v>75.327490965379226</v>
      </c>
      <c r="O7" s="144">
        <f>Diskontering!O80</f>
        <v>141.82552287076032</v>
      </c>
      <c r="P7" s="144">
        <f>Diskontering!P80</f>
        <v>144.29665003186702</v>
      </c>
      <c r="Q7" s="144">
        <f>Diskontering!Q80</f>
        <v>146.68421250636624</v>
      </c>
      <c r="R7" s="144">
        <f>Diskontering!R80</f>
        <v>148.99103615322539</v>
      </c>
      <c r="S7" s="144">
        <f>Diskontering!S80</f>
        <v>151.21985127096372</v>
      </c>
      <c r="T7" s="144">
        <f>Diskontering!T80</f>
        <v>153.37329582916499</v>
      </c>
      <c r="U7" s="144">
        <f>Diskontering!U80</f>
        <v>155.45391859071211</v>
      </c>
      <c r="V7" s="144">
        <f>Diskontering!V80</f>
        <v>157.46418212843878</v>
      </c>
      <c r="W7" s="144">
        <f>Diskontering!W80</f>
        <v>159.40646573976892</v>
      </c>
      <c r="X7" s="144">
        <f>Diskontering!X80</f>
        <v>161.28306826279319</v>
      </c>
      <c r="Y7" s="144">
        <f>Diskontering!Y80</f>
        <v>163.09621079711616</v>
      </c>
      <c r="Z7" s="144">
        <f>Diskontering!Z80</f>
        <v>164.8480393326939</v>
      </c>
      <c r="AA7" s="144">
        <f>Diskontering!AA80</f>
        <v>166.54062728977385</v>
      </c>
      <c r="AB7" s="144">
        <f>Diskontering!AB80</f>
        <v>168.17597797294289</v>
      </c>
      <c r="AC7" s="144">
        <f>Diskontering!AC80</f>
        <v>169.75602694218833</v>
      </c>
      <c r="AD7" s="144">
        <f>Diskontering!AD80</f>
        <v>171.28264430377814</v>
      </c>
      <c r="AE7" s="144">
        <f>Diskontering!AE80</f>
        <v>172.75763692367167</v>
      </c>
      <c r="AF7" s="144">
        <f>Diskontering!AF80</f>
        <v>174.18275056608087</v>
      </c>
      <c r="AG7" s="144">
        <f>Diskontering!AG80</f>
        <v>175.55967195971294</v>
      </c>
      <c r="AH7" s="144">
        <f>Diskontering!AH80</f>
        <v>176.89003079414007</v>
      </c>
      <c r="AI7" s="144">
        <f>Diskontering!AI80</f>
        <v>178.17540164865903</v>
      </c>
      <c r="AJ7" s="144">
        <f>Diskontering!AJ80</f>
        <v>179.41730585592373</v>
      </c>
      <c r="AK7" s="144">
        <f>Diskontering!AK80</f>
        <v>180.61721330255631</v>
      </c>
      <c r="AL7" s="144">
        <f>Diskontering!AL80</f>
        <v>181.77654416886796</v>
      </c>
      <c r="AM7" s="144">
        <f>Diskontering!AM80</f>
        <v>182.89667060974878</v>
      </c>
      <c r="AN7" s="144">
        <f>Diskontering!AN80</f>
        <v>183.97891837871578</v>
      </c>
      <c r="AO7" s="144">
        <f>Diskontering!AO80</f>
        <v>185.02456839704138</v>
      </c>
      <c r="AP7" s="144">
        <f>Diskontering!AP80</f>
        <v>186.03485826981972</v>
      </c>
    </row>
    <row r="8" spans="1:42" s="337" customFormat="1" x14ac:dyDescent="0.25">
      <c r="A8" s="3" t="s">
        <v>672</v>
      </c>
      <c r="B8" s="144">
        <f>'Person UA2'!B166</f>
        <v>0.22743999629354894</v>
      </c>
      <c r="C8" s="144">
        <f>'Person UA2'!C166</f>
        <v>0.43737029396864069</v>
      </c>
      <c r="D8" s="144">
        <f>'Person UA2'!D166</f>
        <v>0.63078958887445113</v>
      </c>
      <c r="E8" s="144">
        <f>'Person UA2'!E166</f>
        <v>0.80864521466876083</v>
      </c>
      <c r="F8" s="144">
        <f>'Person UA2'!F166</f>
        <v>0.97183566518259101</v>
      </c>
      <c r="G8" s="144">
        <f>'Person UA2'!G166</f>
        <v>1.1212129956934556</v>
      </c>
      <c r="H8" s="144">
        <f>'Person UA2'!H166</f>
        <v>1.2575851088530885</v>
      </c>
      <c r="I8" s="144">
        <f>'Person UA2'!I166</f>
        <v>1.3817179307445213</v>
      </c>
      <c r="J8" s="144">
        <f>'Person UA2'!J166</f>
        <v>1.4943374822851383</v>
      </c>
      <c r="K8" s="144">
        <f>'Person UA2'!K166</f>
        <v>1.5937671690711499</v>
      </c>
      <c r="L8" s="144">
        <f>'Person UA2'!L166</f>
        <v>1.6807915354734928</v>
      </c>
      <c r="M8" s="144">
        <f>'Person UA2'!M166</f>
        <v>1.7561552066466237</v>
      </c>
      <c r="N8" s="144">
        <f>'Person UA2'!N166</f>
        <v>1.8205648057048049</v>
      </c>
      <c r="O8" s="144">
        <f>'Person UA2'!O166</f>
        <v>1.8746907809454032</v>
      </c>
      <c r="P8" s="144">
        <f>'Person UA2'!P166</f>
        <v>1.9191691473027204</v>
      </c>
      <c r="Q8" s="144">
        <f>'Person UA2'!Q166</f>
        <v>1.954603146021785</v>
      </c>
      <c r="R8" s="144">
        <f>'Person UA2'!R166</f>
        <v>1.9815648263564278</v>
      </c>
      <c r="S8" s="144">
        <f>'Person UA2'!S166</f>
        <v>2.0005965529194816</v>
      </c>
      <c r="T8" s="144">
        <f>'Person UA2'!T166</f>
        <v>2.0122124421446146</v>
      </c>
      <c r="U8" s="144">
        <f>'Person UA2'!U166</f>
        <v>2.0168997311588286</v>
      </c>
      <c r="V8" s="144">
        <f>'Person UA2'!V166</f>
        <v>2.0151200822115727</v>
      </c>
      <c r="W8" s="144">
        <f>'Person UA2'!W166</f>
        <v>2.007310825660499</v>
      </c>
      <c r="X8" s="144">
        <f>'Person UA2'!X166</f>
        <v>1.9938861443746849</v>
      </c>
      <c r="Y8" s="144">
        <f>'Person UA2'!Y166</f>
        <v>1.9752382022834287</v>
      </c>
      <c r="Z8" s="144">
        <f>'Person UA2'!Z166</f>
        <v>1.9517382196721664</v>
      </c>
      <c r="AA8" s="144">
        <f>'Person UA2'!AA166</f>
        <v>1.9237374977063388</v>
      </c>
      <c r="AB8" s="144">
        <f>'Person UA2'!AB166</f>
        <v>1.8915683945489685</v>
      </c>
      <c r="AC8" s="144">
        <f>'Person UA2'!AC166</f>
        <v>1.8555452553279168</v>
      </c>
      <c r="AD8" s="144">
        <f>'Person UA2'!AD166</f>
        <v>1.8159652981041465</v>
      </c>
      <c r="AE8" s="144">
        <f>'Person UA2'!AE166</f>
        <v>1.7731094578924824</v>
      </c>
      <c r="AF8" s="144">
        <f>'Person UA2'!AF166</f>
        <v>1.7272431906911763</v>
      </c>
      <c r="AG8" s="144">
        <f>'Person UA2'!AG166</f>
        <v>1.6786172393858263</v>
      </c>
      <c r="AH8" s="144">
        <f>'Person UA2'!AH166</f>
        <v>1.6274683633066118</v>
      </c>
      <c r="AI8" s="144">
        <f>'Person UA2'!AI166</f>
        <v>1.5740200331352714</v>
      </c>
      <c r="AJ8" s="144">
        <f>'Person UA2'!AJ166</f>
        <v>1.5184830927795172</v>
      </c>
      <c r="AK8" s="144">
        <f>'Person UA2'!AK166</f>
        <v>1.4610563897575228</v>
      </c>
      <c r="AL8" s="144">
        <f>'Person UA2'!AL166</f>
        <v>1.4019273755634942</v>
      </c>
      <c r="AM8" s="144">
        <f>'Person UA2'!AM166</f>
        <v>1.3412726774170971</v>
      </c>
      <c r="AN8" s="144">
        <f>'Person UA2'!AN166</f>
        <v>1.2792586427343817</v>
      </c>
      <c r="AO8" s="144">
        <f>'Person UA2'!AO166</f>
        <v>1.2160418575957506</v>
      </c>
      <c r="AP8" s="144">
        <f>'Person UA2'!AP166</f>
        <v>1.0839367016160724</v>
      </c>
    </row>
    <row r="9" spans="1:42" s="337" customFormat="1" x14ac:dyDescent="0.25">
      <c r="A9" s="3" t="s">
        <v>673</v>
      </c>
      <c r="B9" s="144">
        <f>'Gods UA2'!B110</f>
        <v>1.1550691963035105</v>
      </c>
      <c r="C9" s="144">
        <f>'Gods UA2'!C110</f>
        <v>2.2877152982790259</v>
      </c>
      <c r="D9" s="144">
        <f>'Gods UA2'!D110</f>
        <v>3.4039462393563449</v>
      </c>
      <c r="E9" s="144">
        <f>'Gods UA2'!E110</f>
        <v>4.5039999204180514</v>
      </c>
      <c r="F9" s="144">
        <f>'Gods UA2'!F110</f>
        <v>5.5881107945078483</v>
      </c>
      <c r="G9" s="144">
        <f>'Gods UA2'!G110</f>
        <v>6.6565099167992443</v>
      </c>
      <c r="H9" s="144">
        <f>'Gods UA2'!H110</f>
        <v>7.7094249938400399</v>
      </c>
      <c r="I9" s="144">
        <f>'Gods UA2'!I110</f>
        <v>8.7470804320831412</v>
      </c>
      <c r="J9" s="144">
        <f>'Gods UA2'!J110</f>
        <v>9.769697385714025</v>
      </c>
      <c r="K9" s="144">
        <f>'Gods UA2'!K110</f>
        <v>10.777493803785042</v>
      </c>
      <c r="L9" s="144">
        <f>'Gods UA2'!L110</f>
        <v>11.770684476666624</v>
      </c>
      <c r="M9" s="144">
        <f>'Gods UA2'!M110</f>
        <v>12.749481081825284</v>
      </c>
      <c r="N9" s="144">
        <f>'Gods UA2'!N110</f>
        <v>13.714092228938163</v>
      </c>
      <c r="O9" s="144">
        <f>'Gods UA2'!O110</f>
        <v>14.664723504353759</v>
      </c>
      <c r="P9" s="144">
        <f>'Gods UA2'!P110</f>
        <v>15.601577514908257</v>
      </c>
      <c r="Q9" s="144">
        <f>'Gods UA2'!Q110</f>
        <v>16.524853931106893</v>
      </c>
      <c r="R9" s="144">
        <f>'Gods UA2'!R110</f>
        <v>17.434749529679461</v>
      </c>
      <c r="S9" s="144">
        <f>'Gods UA2'!S110</f>
        <v>18.331458235519094</v>
      </c>
      <c r="T9" s="144">
        <f>'Gods UA2'!T110</f>
        <v>19.215171163013228</v>
      </c>
      <c r="U9" s="144">
        <f>'Gods UA2'!U110</f>
        <v>20.08607665677556</v>
      </c>
      <c r="V9" s="144">
        <f>'Gods UA2'!V110</f>
        <v>20.944360331787713</v>
      </c>
      <c r="W9" s="144">
        <f>'Gods UA2'!W110</f>
        <v>21.790205112959111</v>
      </c>
      <c r="X9" s="144">
        <f>'Gods UA2'!X110</f>
        <v>22.623791274113533</v>
      </c>
      <c r="Y9" s="144">
        <f>'Gods UA2'!Y110</f>
        <v>23.445296476410643</v>
      </c>
      <c r="Z9" s="144">
        <f>'Gods UA2'!Z110</f>
        <v>24.254895806210694</v>
      </c>
      <c r="AA9" s="144">
        <f>'Gods UA2'!AA110</f>
        <v>25.052761812390457</v>
      </c>
      <c r="AB9" s="144">
        <f>'Gods UA2'!AB110</f>
        <v>25.839064543118337</v>
      </c>
      <c r="AC9" s="144">
        <f>'Gods UA2'!AC110</f>
        <v>26.613971582096539</v>
      </c>
      <c r="AD9" s="144">
        <f>'Gods UA2'!AD110</f>
        <v>27.377648084277954</v>
      </c>
      <c r="AE9" s="144">
        <f>'Gods UA2'!AE110</f>
        <v>28.130256811065436</v>
      </c>
      <c r="AF9" s="144">
        <f>'Gods UA2'!AF110</f>
        <v>28.871958165000926</v>
      </c>
      <c r="AG9" s="144">
        <f>'Gods UA2'!AG110</f>
        <v>29.602910223951842</v>
      </c>
      <c r="AH9" s="144">
        <f>'Gods UA2'!AH110</f>
        <v>30.323268774802017</v>
      </c>
      <c r="AI9" s="144">
        <f>'Gods UA2'!AI110</f>
        <v>31.033187346654369</v>
      </c>
      <c r="AJ9" s="144">
        <f>'Gods UA2'!AJ110</f>
        <v>31.73281724355234</v>
      </c>
      <c r="AK9" s="144">
        <f>'Gods UA2'!AK110</f>
        <v>32.42230757672715</v>
      </c>
      <c r="AL9" s="144">
        <f>'Gods UA2'!AL110</f>
        <v>33.101805296377691</v>
      </c>
      <c r="AM9" s="144">
        <f>'Gods UA2'!AM110</f>
        <v>33.771455222989815</v>
      </c>
      <c r="AN9" s="144">
        <f>'Gods UA2'!AN110</f>
        <v>34.431400078201762</v>
      </c>
      <c r="AO9" s="144">
        <f>'Gods UA2'!AO110</f>
        <v>35.081780515222235</v>
      </c>
      <c r="AP9" s="144">
        <f>'Gods UA2'!AP110</f>
        <v>35.722735148807629</v>
      </c>
    </row>
    <row r="10" spans="1:42" s="337" customFormat="1" x14ac:dyDescent="0.25">
      <c r="A10" s="3" t="s">
        <v>342</v>
      </c>
      <c r="B10" s="144">
        <f>SUM(B7:B9)</f>
        <v>15.382509192597059</v>
      </c>
      <c r="C10" s="144">
        <f t="shared" ref="C10:AP10" si="1">SUM(C7:C9)</f>
        <v>22.522187041523029</v>
      </c>
      <c r="D10" s="144">
        <f t="shared" si="1"/>
        <v>36.900987082635801</v>
      </c>
      <c r="E10" s="144">
        <f t="shared" si="1"/>
        <v>43.590552623499953</v>
      </c>
      <c r="F10" s="144">
        <f t="shared" si="1"/>
        <v>50.066507314295009</v>
      </c>
      <c r="G10" s="144">
        <f t="shared" si="1"/>
        <v>54.65217643453137</v>
      </c>
      <c r="H10" s="144">
        <f t="shared" si="1"/>
        <v>59.095466201962807</v>
      </c>
      <c r="I10" s="144">
        <f t="shared" si="1"/>
        <v>71.261127911670812</v>
      </c>
      <c r="J10" s="144">
        <f t="shared" si="1"/>
        <v>75.434010641707317</v>
      </c>
      <c r="K10" s="144">
        <f t="shared" si="1"/>
        <v>79.476160635322827</v>
      </c>
      <c r="L10" s="144">
        <f t="shared" si="1"/>
        <v>83.392050929445816</v>
      </c>
      <c r="M10" s="144">
        <f t="shared" si="1"/>
        <v>87.185994060694611</v>
      </c>
      <c r="N10" s="144">
        <f t="shared" si="1"/>
        <v>90.862148000022188</v>
      </c>
      <c r="O10" s="144">
        <f t="shared" si="1"/>
        <v>158.36493715605948</v>
      </c>
      <c r="P10" s="144">
        <f t="shared" si="1"/>
        <v>161.81739669407798</v>
      </c>
      <c r="Q10" s="144">
        <f t="shared" si="1"/>
        <v>165.16366958349491</v>
      </c>
      <c r="R10" s="144">
        <f t="shared" si="1"/>
        <v>168.40735050926128</v>
      </c>
      <c r="S10" s="144">
        <f t="shared" si="1"/>
        <v>171.55190605940231</v>
      </c>
      <c r="T10" s="144">
        <f t="shared" si="1"/>
        <v>174.60067943432281</v>
      </c>
      <c r="U10" s="144">
        <f t="shared" si="1"/>
        <v>177.55689497864648</v>
      </c>
      <c r="V10" s="144">
        <f t="shared" si="1"/>
        <v>180.42366254243808</v>
      </c>
      <c r="W10" s="144">
        <f t="shared" si="1"/>
        <v>183.20398167838854</v>
      </c>
      <c r="X10" s="144">
        <f t="shared" si="1"/>
        <v>185.90074568128142</v>
      </c>
      <c r="Y10" s="144">
        <f t="shared" si="1"/>
        <v>188.51674547581024</v>
      </c>
      <c r="Z10" s="144">
        <f t="shared" si="1"/>
        <v>191.05467335857676</v>
      </c>
      <c r="AA10" s="144">
        <f t="shared" si="1"/>
        <v>193.51712659987064</v>
      </c>
      <c r="AB10" s="144">
        <f t="shared" si="1"/>
        <v>195.90661091061017</v>
      </c>
      <c r="AC10" s="144">
        <f t="shared" si="1"/>
        <v>198.22554377961279</v>
      </c>
      <c r="AD10" s="144">
        <f t="shared" si="1"/>
        <v>200.47625768616024</v>
      </c>
      <c r="AE10" s="144">
        <f t="shared" si="1"/>
        <v>202.66100319262958</v>
      </c>
      <c r="AF10" s="144">
        <f t="shared" si="1"/>
        <v>204.78195192177299</v>
      </c>
      <c r="AG10" s="144">
        <f t="shared" si="1"/>
        <v>206.84119942305063</v>
      </c>
      <c r="AH10" s="144">
        <f t="shared" si="1"/>
        <v>208.8407679322487</v>
      </c>
      <c r="AI10" s="144">
        <f t="shared" si="1"/>
        <v>210.78260902844866</v>
      </c>
      <c r="AJ10" s="144">
        <f t="shared" si="1"/>
        <v>212.6686061922556</v>
      </c>
      <c r="AK10" s="144">
        <f t="shared" si="1"/>
        <v>214.50057726904097</v>
      </c>
      <c r="AL10" s="144">
        <f t="shared" si="1"/>
        <v>216.28027684080917</v>
      </c>
      <c r="AM10" s="144">
        <f t="shared" si="1"/>
        <v>218.00939851015568</v>
      </c>
      <c r="AN10" s="144">
        <f t="shared" si="1"/>
        <v>219.68957709965193</v>
      </c>
      <c r="AO10" s="144">
        <f t="shared" si="1"/>
        <v>221.32239076985934</v>
      </c>
      <c r="AP10" s="144">
        <f t="shared" si="1"/>
        <v>222.84153012024342</v>
      </c>
    </row>
    <row r="11" spans="1:42" s="11" customFormat="1" x14ac:dyDescent="0.25">
      <c r="A11" s="18"/>
    </row>
    <row r="44" spans="1:7" x14ac:dyDescent="0.25">
      <c r="A44" t="s">
        <v>674</v>
      </c>
    </row>
    <row r="45" spans="1:7" x14ac:dyDescent="0.25">
      <c r="D45" s="20"/>
      <c r="E45" s="20"/>
      <c r="F45" s="20"/>
      <c r="G45" s="20"/>
    </row>
    <row r="48" spans="1:7" ht="15.75" x14ac:dyDescent="0.25">
      <c r="A48" s="10" t="s">
        <v>267</v>
      </c>
    </row>
    <row r="49" spans="1:5" x14ac:dyDescent="0.25">
      <c r="A49" s="43" t="s">
        <v>377</v>
      </c>
    </row>
    <row r="51" spans="1:5" x14ac:dyDescent="0.25">
      <c r="A51" s="39" t="s">
        <v>241</v>
      </c>
      <c r="B51" s="227">
        <f>Diskontering!B89</f>
        <v>186.03485826981972</v>
      </c>
      <c r="E51" s="227"/>
    </row>
    <row r="52" spans="1:5" x14ac:dyDescent="0.25">
      <c r="B52" s="227"/>
      <c r="E52" s="227"/>
    </row>
    <row r="53" spans="1:5" x14ac:dyDescent="0.25">
      <c r="A53" s="39" t="s">
        <v>530</v>
      </c>
      <c r="B53" s="227"/>
      <c r="E53" s="227"/>
    </row>
    <row r="54" spans="1:5" x14ac:dyDescent="0.25">
      <c r="A54" t="s">
        <v>505</v>
      </c>
      <c r="B54" s="227">
        <f>'Person UA2'!B174</f>
        <v>-5.1472005454723098</v>
      </c>
      <c r="E54" s="227"/>
    </row>
    <row r="55" spans="1:5" x14ac:dyDescent="0.25">
      <c r="A55" t="s">
        <v>506</v>
      </c>
      <c r="B55" s="227">
        <f>'Person UA2'!B175</f>
        <v>0</v>
      </c>
      <c r="E55" s="227"/>
    </row>
    <row r="56" spans="1:5" x14ac:dyDescent="0.25">
      <c r="A56" t="s">
        <v>52</v>
      </c>
      <c r="B56" s="227">
        <f>'Person UA2'!B176</f>
        <v>-1.1944178455188412</v>
      </c>
      <c r="E56" s="227"/>
    </row>
    <row r="57" spans="1:5" x14ac:dyDescent="0.25">
      <c r="A57" t="s">
        <v>556</v>
      </c>
      <c r="B57" s="227">
        <f>'Gods UA2'!B117</f>
        <v>43.963345127979181</v>
      </c>
      <c r="E57" s="227"/>
    </row>
    <row r="58" spans="1:5" x14ac:dyDescent="0.25">
      <c r="A58" t="s">
        <v>276</v>
      </c>
      <c r="B58" s="227">
        <f>'Gods UA2'!B118</f>
        <v>-2.0132209312224694E-3</v>
      </c>
      <c r="E58" s="227"/>
    </row>
    <row r="59" spans="1:5" x14ac:dyDescent="0.25">
      <c r="B59" s="227"/>
      <c r="E59" s="227"/>
    </row>
    <row r="60" spans="1:5" x14ac:dyDescent="0.25">
      <c r="A60" s="39" t="s">
        <v>531</v>
      </c>
      <c r="B60" s="227"/>
      <c r="E60" s="227"/>
    </row>
    <row r="61" spans="1:5" x14ac:dyDescent="0.25">
      <c r="A61" t="s">
        <v>486</v>
      </c>
      <c r="B61" s="227">
        <f>'Person UA2'!B179</f>
        <v>-4.2587580887945533</v>
      </c>
      <c r="E61" s="227"/>
    </row>
    <row r="62" spans="1:5" x14ac:dyDescent="0.25">
      <c r="A62" t="s">
        <v>557</v>
      </c>
      <c r="B62" s="227">
        <f>'Person UA2'!B180</f>
        <v>6.3064198720367717</v>
      </c>
      <c r="E62" s="227"/>
    </row>
    <row r="63" spans="1:5" x14ac:dyDescent="0.25">
      <c r="B63" s="227"/>
      <c r="E63" s="227"/>
    </row>
    <row r="64" spans="1:5" x14ac:dyDescent="0.25">
      <c r="A64" s="39" t="s">
        <v>335</v>
      </c>
      <c r="B64" s="227"/>
      <c r="E64" s="227"/>
    </row>
    <row r="65" spans="1:5" x14ac:dyDescent="0.25">
      <c r="A65" t="s">
        <v>532</v>
      </c>
      <c r="B65" s="227">
        <f>'Person UA2'!B183</f>
        <v>5.377893309364997</v>
      </c>
      <c r="E65" s="227"/>
    </row>
    <row r="66" spans="1:5" x14ac:dyDescent="0.25">
      <c r="A66" t="s">
        <v>111</v>
      </c>
      <c r="B66" s="227">
        <f>'Gods UA2'!B121</f>
        <v>-8.2385967582403232</v>
      </c>
      <c r="E66" s="227"/>
    </row>
    <row r="67" spans="1:5" x14ac:dyDescent="0.25">
      <c r="B67" s="227"/>
      <c r="E67" s="227"/>
    </row>
    <row r="68" spans="1:5" x14ac:dyDescent="0.25">
      <c r="A68" s="39" t="s">
        <v>365</v>
      </c>
      <c r="B68" s="227"/>
      <c r="E68" s="227"/>
    </row>
    <row r="69" spans="1:5" x14ac:dyDescent="0.25">
      <c r="A69" t="s">
        <v>533</v>
      </c>
      <c r="B69" s="227">
        <f>'Person UA2'!B186</f>
        <v>0</v>
      </c>
      <c r="E69" s="227"/>
    </row>
    <row r="70" spans="1:5" x14ac:dyDescent="0.25">
      <c r="A70" t="s">
        <v>366</v>
      </c>
      <c r="B70" s="227">
        <f>'Gods UA2'!B124</f>
        <v>0</v>
      </c>
      <c r="E70" s="227"/>
    </row>
    <row r="71" spans="1:5" x14ac:dyDescent="0.25">
      <c r="B71" s="227"/>
      <c r="E71" s="227"/>
    </row>
    <row r="72" spans="1:5" x14ac:dyDescent="0.25">
      <c r="A72" s="192" t="s">
        <v>534</v>
      </c>
      <c r="B72" s="257">
        <f>SUM(B51:B70)</f>
        <v>222.84153012024339</v>
      </c>
      <c r="D72" s="227"/>
      <c r="E72" s="2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Beskrivn kalkylvrd</vt:lpstr>
      <vt:lpstr>Underlag bes kalkv</vt:lpstr>
      <vt:lpstr>Kalkylv operativa kostnader lb</vt:lpstr>
      <vt:lpstr>Diskontering</vt:lpstr>
      <vt:lpstr>Kalkylvärden 1</vt:lpstr>
      <vt:lpstr>Operativa kostnader tåg</vt:lpstr>
      <vt:lpstr>Projektspecifikt</vt:lpstr>
      <vt:lpstr>Person UA1</vt:lpstr>
      <vt:lpstr>Gods UA1</vt:lpstr>
      <vt:lpstr>Resultat UA1</vt:lpstr>
      <vt:lpstr>Person UA2</vt:lpstr>
      <vt:lpstr>Gods UA2</vt:lpstr>
      <vt:lpstr>Instruktion UA2 gods</vt:lpstr>
      <vt:lpstr>Resultat UA2</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Ahlenius Helen, PLet</dc:creator>
  <cp:lastModifiedBy>Ström Pär, PLee</cp:lastModifiedBy>
  <dcterms:created xsi:type="dcterms:W3CDTF">2016-05-03T09:14:43Z</dcterms:created>
  <dcterms:modified xsi:type="dcterms:W3CDTF">2023-02-20T14:21:13Z</dcterms:modified>
</cp:coreProperties>
</file>