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mc:AlternateContent xmlns:mc="http://schemas.openxmlformats.org/markup-compatibility/2006">
    <mc:Choice Requires="x15">
      <x15ac:absPath xmlns:x15ac="http://schemas.microsoft.com/office/spreadsheetml/2010/11/ac" url="M:\ASEK\Buller\Jvägbuse\"/>
    </mc:Choice>
  </mc:AlternateContent>
  <xr:revisionPtr revIDLastSave="0" documentId="8_{F0A2EFCB-AF56-44BE-856B-32C2D1A10F25}" xr6:coauthVersionLast="47" xr6:coauthVersionMax="47" xr10:uidLastSave="{00000000-0000-0000-0000-000000000000}"/>
  <bookViews>
    <workbookView xWindow="-110" yWindow="-110" windowWidth="19420" windowHeight="10300" tabRatio="913" xr2:uid="{00000000-000D-0000-FFFF-FFFF00000000}"/>
  </bookViews>
  <sheets>
    <sheet name="START" sheetId="23" r:id="rId1"/>
    <sheet name="A Fasadåtgärd" sheetId="9" r:id="rId2"/>
    <sheet name="B Fasad och del av utemiljö" sheetId="10" r:id="rId3"/>
    <sheet name="C Lång skärm" sheetId="19" r:id="rId4"/>
    <sheet name="D Vall" sheetId="20" r:id="rId5"/>
    <sheet name="E Förvärv" sheetId="21" r:id="rId6"/>
    <sheet name="F Sammanvägd NNK och NUK" sheetId="26" r:id="rId7"/>
    <sheet name="Åtgärdskostnad" sheetId="6" r:id="rId8"/>
    <sheet name="Effekter av åtgärder" sheetId="27" r:id="rId9"/>
    <sheet name="Bullervärdering" sheetId="18" r:id="rId10"/>
    <sheet name="NuvFasad" sheetId="8" r:id="rId11"/>
    <sheet name="NuvFasadUtemiljö" sheetId="17" r:id="rId12"/>
    <sheet name="NuvLångSkärm" sheetId="24" r:id="rId13"/>
    <sheet name="NuvVall" sheetId="25" r:id="rId14"/>
    <sheet name="NuvFörvärv" sheetId="14" r:id="rId15"/>
  </sheets>
  <definedNames>
    <definedName name="Absorbent__utan_med">'C Lång skärm'!$F$37:$F$37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55" i="21" l="1"/>
  <c r="C53" i="21"/>
  <c r="C51" i="21"/>
  <c r="C49" i="21"/>
  <c r="C48" i="21"/>
  <c r="C60" i="20"/>
  <c r="C58" i="20"/>
  <c r="C56" i="20"/>
  <c r="C54" i="20"/>
  <c r="C53" i="20"/>
  <c r="D46" i="20"/>
  <c r="C62" i="19"/>
  <c r="C60" i="19"/>
  <c r="C58" i="19"/>
  <c r="C56" i="19"/>
  <c r="C55" i="19"/>
  <c r="D47" i="19"/>
  <c r="C65" i="10"/>
  <c r="C64" i="10"/>
  <c r="C60" i="10"/>
  <c r="C71" i="10"/>
  <c r="C69" i="10"/>
  <c r="C67" i="10"/>
  <c r="D60" i="10"/>
  <c r="D53" i="10"/>
  <c r="D52" i="10"/>
  <c r="C56" i="9"/>
  <c r="C55" i="9"/>
  <c r="C62" i="9" l="1"/>
  <c r="C58" i="9"/>
  <c r="C60" i="9" s="1"/>
  <c r="C37" i="9" l="1"/>
  <c r="C40" i="9" s="1"/>
  <c r="C45" i="9" s="1"/>
  <c r="C54" i="9"/>
  <c r="E12" i="6" l="1"/>
  <c r="E11" i="6"/>
  <c r="E10" i="6"/>
  <c r="E9" i="6"/>
  <c r="E6" i="6"/>
  <c r="E5" i="6"/>
  <c r="C43" i="20" l="1"/>
  <c r="J32" i="10" l="1"/>
  <c r="J31" i="10"/>
  <c r="J30" i="10"/>
  <c r="J29" i="10"/>
  <c r="J28" i="10"/>
  <c r="J27" i="10"/>
  <c r="J26" i="10"/>
  <c r="J25" i="10"/>
  <c r="J24" i="10"/>
  <c r="J23" i="10"/>
  <c r="J22" i="10"/>
  <c r="J21" i="10"/>
  <c r="J20" i="10"/>
  <c r="H31" i="19"/>
  <c r="H30" i="19"/>
  <c r="H29" i="19"/>
  <c r="H28" i="19"/>
  <c r="H27" i="19"/>
  <c r="H26" i="19"/>
  <c r="H25" i="19"/>
  <c r="H24" i="19"/>
  <c r="H23" i="19"/>
  <c r="H22" i="19"/>
  <c r="H31" i="20"/>
  <c r="H30" i="20"/>
  <c r="H29" i="20"/>
  <c r="H28" i="20"/>
  <c r="H27" i="20"/>
  <c r="H26" i="20"/>
  <c r="H25" i="20"/>
  <c r="H24" i="20"/>
  <c r="H23" i="20"/>
  <c r="H22" i="20"/>
  <c r="H21" i="20"/>
  <c r="H20" i="20"/>
  <c r="H19" i="20"/>
  <c r="C3" i="25" l="1"/>
  <c r="G63" i="24"/>
  <c r="E63" i="24"/>
  <c r="C63" i="24"/>
  <c r="G62" i="24"/>
  <c r="E62" i="24"/>
  <c r="C62" i="24"/>
  <c r="G61" i="24"/>
  <c r="E61" i="24"/>
  <c r="C61" i="24"/>
  <c r="G60" i="24"/>
  <c r="E60" i="24"/>
  <c r="C60" i="24"/>
  <c r="G59" i="24"/>
  <c r="E59" i="24"/>
  <c r="C59" i="24"/>
  <c r="G58" i="24"/>
  <c r="E58" i="24"/>
  <c r="C58" i="24"/>
  <c r="G57" i="24"/>
  <c r="E57" i="24"/>
  <c r="C57" i="24"/>
  <c r="G56" i="24"/>
  <c r="E56" i="24"/>
  <c r="C56" i="24"/>
  <c r="G55" i="24"/>
  <c r="E55" i="24"/>
  <c r="C55" i="24"/>
  <c r="G54" i="24"/>
  <c r="E54" i="24"/>
  <c r="C54" i="24"/>
  <c r="G53" i="24"/>
  <c r="E53" i="24"/>
  <c r="C53" i="24"/>
  <c r="G52" i="24"/>
  <c r="E52" i="24"/>
  <c r="C52" i="24"/>
  <c r="G51" i="24"/>
  <c r="E51" i="24"/>
  <c r="C51" i="24"/>
  <c r="G50" i="24"/>
  <c r="E50" i="24"/>
  <c r="C50" i="24"/>
  <c r="G49" i="24"/>
  <c r="E49" i="24"/>
  <c r="C49" i="24"/>
  <c r="G48" i="24"/>
  <c r="E48" i="24"/>
  <c r="C48" i="24"/>
  <c r="G47" i="24"/>
  <c r="E47" i="24"/>
  <c r="C47" i="24"/>
  <c r="G46" i="24"/>
  <c r="E46" i="24"/>
  <c r="C46" i="24"/>
  <c r="G45" i="24"/>
  <c r="M45" i="24" s="1"/>
  <c r="E45" i="24"/>
  <c r="K45" i="24" s="1"/>
  <c r="C45" i="24"/>
  <c r="J45" i="24" s="1"/>
  <c r="G44" i="24"/>
  <c r="M44" i="24" s="1"/>
  <c r="E44" i="24"/>
  <c r="K44" i="24" s="1"/>
  <c r="C44" i="24"/>
  <c r="J44" i="24" s="1"/>
  <c r="C3" i="24"/>
  <c r="M63" i="17"/>
  <c r="L63" i="17"/>
  <c r="K63" i="17"/>
  <c r="J63" i="17"/>
  <c r="H63" i="17"/>
  <c r="I63" i="17" s="1"/>
  <c r="E63" i="17"/>
  <c r="C63" i="17"/>
  <c r="M62" i="17"/>
  <c r="L62" i="17"/>
  <c r="K62" i="17"/>
  <c r="J62" i="17"/>
  <c r="H62" i="17"/>
  <c r="I62" i="17" s="1"/>
  <c r="E62" i="17"/>
  <c r="C62" i="17"/>
  <c r="M61" i="17"/>
  <c r="L61" i="17"/>
  <c r="K61" i="17"/>
  <c r="J61" i="17"/>
  <c r="H61" i="17"/>
  <c r="I61" i="17" s="1"/>
  <c r="E61" i="17"/>
  <c r="C61" i="17"/>
  <c r="M60" i="17"/>
  <c r="L60" i="17"/>
  <c r="K60" i="17"/>
  <c r="J60" i="17"/>
  <c r="H60" i="17"/>
  <c r="I60" i="17" s="1"/>
  <c r="E60" i="17"/>
  <c r="C60" i="17"/>
  <c r="M59" i="17"/>
  <c r="L59" i="17"/>
  <c r="K59" i="17"/>
  <c r="J59" i="17"/>
  <c r="H59" i="17"/>
  <c r="I59" i="17" s="1"/>
  <c r="E59" i="17"/>
  <c r="C59" i="17"/>
  <c r="M58" i="17"/>
  <c r="L58" i="17"/>
  <c r="K58" i="17"/>
  <c r="J58" i="17"/>
  <c r="H58" i="17"/>
  <c r="I58" i="17" s="1"/>
  <c r="E58" i="17"/>
  <c r="C58" i="17"/>
  <c r="M57" i="17"/>
  <c r="L57" i="17"/>
  <c r="K57" i="17"/>
  <c r="J57" i="17"/>
  <c r="H57" i="17"/>
  <c r="I57" i="17" s="1"/>
  <c r="E57" i="17"/>
  <c r="C57" i="17"/>
  <c r="M56" i="17"/>
  <c r="L56" i="17"/>
  <c r="K56" i="17"/>
  <c r="J56" i="17"/>
  <c r="H56" i="17"/>
  <c r="I56" i="17" s="1"/>
  <c r="E56" i="17"/>
  <c r="C56" i="17"/>
  <c r="M55" i="17"/>
  <c r="L55" i="17"/>
  <c r="K55" i="17"/>
  <c r="J55" i="17"/>
  <c r="H55" i="17"/>
  <c r="I55" i="17" s="1"/>
  <c r="E55" i="17"/>
  <c r="C55" i="17"/>
  <c r="M54" i="17"/>
  <c r="L54" i="17"/>
  <c r="K54" i="17"/>
  <c r="J54" i="17"/>
  <c r="H54" i="17"/>
  <c r="I54" i="17" s="1"/>
  <c r="E54" i="17"/>
  <c r="C54" i="17"/>
  <c r="M53" i="17"/>
  <c r="L53" i="17"/>
  <c r="K53" i="17"/>
  <c r="J53" i="17"/>
  <c r="H53" i="17"/>
  <c r="I53" i="17" s="1"/>
  <c r="E53" i="17"/>
  <c r="C53" i="17"/>
  <c r="M52" i="17"/>
  <c r="L52" i="17"/>
  <c r="K52" i="17"/>
  <c r="J52" i="17"/>
  <c r="H52" i="17"/>
  <c r="I52" i="17" s="1"/>
  <c r="E52" i="17"/>
  <c r="C52" i="17"/>
  <c r="M51" i="17"/>
  <c r="L51" i="17"/>
  <c r="K51" i="17"/>
  <c r="J51" i="17"/>
  <c r="H51" i="17"/>
  <c r="I51" i="17" s="1"/>
  <c r="E51" i="17"/>
  <c r="C51" i="17"/>
  <c r="M50" i="17"/>
  <c r="L50" i="17"/>
  <c r="K50" i="17"/>
  <c r="J50" i="17"/>
  <c r="H50" i="17"/>
  <c r="I50" i="17" s="1"/>
  <c r="E50" i="17"/>
  <c r="C50" i="17"/>
  <c r="M49" i="17"/>
  <c r="L49" i="17"/>
  <c r="K49" i="17"/>
  <c r="J49" i="17"/>
  <c r="H49" i="17"/>
  <c r="I49" i="17" s="1"/>
  <c r="E49" i="17"/>
  <c r="C49" i="17"/>
  <c r="M48" i="17"/>
  <c r="L48" i="17"/>
  <c r="K48" i="17"/>
  <c r="J48" i="17"/>
  <c r="H48" i="17"/>
  <c r="I48" i="17" s="1"/>
  <c r="E48" i="17"/>
  <c r="C48" i="17"/>
  <c r="M47" i="17"/>
  <c r="L47" i="17"/>
  <c r="K47" i="17"/>
  <c r="J47" i="17"/>
  <c r="H47" i="17"/>
  <c r="I47" i="17" s="1"/>
  <c r="E47" i="17"/>
  <c r="C47" i="17"/>
  <c r="M46" i="17"/>
  <c r="L46" i="17"/>
  <c r="K46" i="17"/>
  <c r="J46" i="17"/>
  <c r="H46" i="17"/>
  <c r="I46" i="17" s="1"/>
  <c r="E46" i="17"/>
  <c r="C46" i="17"/>
  <c r="M45" i="17"/>
  <c r="L45" i="17"/>
  <c r="K45" i="17"/>
  <c r="J45" i="17"/>
  <c r="H45" i="17"/>
  <c r="I45" i="17" s="1"/>
  <c r="E45" i="17"/>
  <c r="C45" i="17"/>
  <c r="M44" i="17"/>
  <c r="L44" i="17"/>
  <c r="K44" i="17"/>
  <c r="J44" i="17"/>
  <c r="H44" i="17"/>
  <c r="I44" i="17" s="1"/>
  <c r="E44" i="17"/>
  <c r="C44" i="17"/>
  <c r="M43" i="17"/>
  <c r="L43" i="17"/>
  <c r="K43" i="17"/>
  <c r="J43" i="17"/>
  <c r="H43" i="17"/>
  <c r="I43" i="17" s="1"/>
  <c r="E43" i="17"/>
  <c r="C43" i="17"/>
  <c r="M42" i="17"/>
  <c r="L42" i="17"/>
  <c r="K42" i="17"/>
  <c r="J42" i="17"/>
  <c r="H42" i="17"/>
  <c r="I42" i="17" s="1"/>
  <c r="E42" i="17"/>
  <c r="C42" i="17"/>
  <c r="M41" i="17"/>
  <c r="L41" i="17"/>
  <c r="K41" i="17"/>
  <c r="J41" i="17"/>
  <c r="H41" i="17"/>
  <c r="I41" i="17" s="1"/>
  <c r="E41" i="17"/>
  <c r="C41" i="17"/>
  <c r="M40" i="17"/>
  <c r="L40" i="17"/>
  <c r="K40" i="17"/>
  <c r="J40" i="17"/>
  <c r="H40" i="17"/>
  <c r="I40" i="17" s="1"/>
  <c r="E40" i="17"/>
  <c r="C40" i="17"/>
  <c r="M39" i="17"/>
  <c r="L39" i="17"/>
  <c r="K39" i="17"/>
  <c r="J39" i="17"/>
  <c r="H39" i="17"/>
  <c r="I39" i="17" s="1"/>
  <c r="E39" i="17"/>
  <c r="C39" i="17"/>
  <c r="M38" i="17"/>
  <c r="L38" i="17"/>
  <c r="K38" i="17"/>
  <c r="J38" i="17"/>
  <c r="H38" i="17"/>
  <c r="I38" i="17" s="1"/>
  <c r="E38" i="17"/>
  <c r="C38" i="17"/>
  <c r="M37" i="17"/>
  <c r="L37" i="17"/>
  <c r="K37" i="17"/>
  <c r="J37" i="17"/>
  <c r="H37" i="17"/>
  <c r="I37" i="17" s="1"/>
  <c r="E37" i="17"/>
  <c r="C37" i="17"/>
  <c r="M36" i="17"/>
  <c r="L36" i="17"/>
  <c r="K36" i="17"/>
  <c r="J36" i="17"/>
  <c r="H36" i="17"/>
  <c r="I36" i="17" s="1"/>
  <c r="E36" i="17"/>
  <c r="C36" i="17"/>
  <c r="M35" i="17"/>
  <c r="L35" i="17"/>
  <c r="K35" i="17"/>
  <c r="J35" i="17"/>
  <c r="H35" i="17"/>
  <c r="I35" i="17" s="1"/>
  <c r="E35" i="17"/>
  <c r="C35" i="17"/>
  <c r="M34" i="17"/>
  <c r="L34" i="17"/>
  <c r="K34" i="17"/>
  <c r="J34" i="17"/>
  <c r="H34" i="17"/>
  <c r="I34" i="17" s="1"/>
  <c r="E34" i="17"/>
  <c r="C34" i="17"/>
  <c r="M33" i="17"/>
  <c r="L33" i="17"/>
  <c r="K33" i="17"/>
  <c r="J33" i="17"/>
  <c r="H33" i="17"/>
  <c r="I33" i="17" s="1"/>
  <c r="T33" i="17" s="1"/>
  <c r="E33" i="17"/>
  <c r="Q33" i="17" s="1"/>
  <c r="C33" i="17"/>
  <c r="P33" i="17" s="1"/>
  <c r="M32" i="17"/>
  <c r="L32" i="17"/>
  <c r="K32" i="17"/>
  <c r="J32" i="17"/>
  <c r="H32" i="17"/>
  <c r="I32" i="17" s="1"/>
  <c r="T32" i="17" s="1"/>
  <c r="E32" i="17"/>
  <c r="Q32" i="17" s="1"/>
  <c r="C32" i="17"/>
  <c r="P32" i="17" s="1"/>
  <c r="M31" i="17"/>
  <c r="L31" i="17"/>
  <c r="K31" i="17"/>
  <c r="J31" i="17"/>
  <c r="H31" i="17"/>
  <c r="I31" i="17" s="1"/>
  <c r="T31" i="17" s="1"/>
  <c r="E31" i="17"/>
  <c r="Q31" i="17" s="1"/>
  <c r="C31" i="17"/>
  <c r="P31" i="17" s="1"/>
  <c r="M30" i="17"/>
  <c r="L30" i="17"/>
  <c r="K30" i="17"/>
  <c r="J30" i="17"/>
  <c r="H30" i="17"/>
  <c r="I30" i="17" s="1"/>
  <c r="T30" i="17" s="1"/>
  <c r="E30" i="17"/>
  <c r="Q30" i="17" s="1"/>
  <c r="C30" i="17"/>
  <c r="P30" i="17" s="1"/>
  <c r="M29" i="17"/>
  <c r="L29" i="17"/>
  <c r="K29" i="17"/>
  <c r="J29" i="17"/>
  <c r="H29" i="17"/>
  <c r="I29" i="17" s="1"/>
  <c r="T29" i="17" s="1"/>
  <c r="E29" i="17"/>
  <c r="Q29" i="17" s="1"/>
  <c r="C29" i="17"/>
  <c r="P29" i="17" s="1"/>
  <c r="M28" i="17"/>
  <c r="L28" i="17"/>
  <c r="K28" i="17"/>
  <c r="J28" i="17"/>
  <c r="H28" i="17"/>
  <c r="I28" i="17" s="1"/>
  <c r="T28" i="17" s="1"/>
  <c r="E28" i="17"/>
  <c r="Q28" i="17" s="1"/>
  <c r="C28" i="17"/>
  <c r="P28" i="17" s="1"/>
  <c r="M27" i="17"/>
  <c r="L27" i="17"/>
  <c r="K27" i="17"/>
  <c r="J27" i="17"/>
  <c r="H27" i="17"/>
  <c r="I27" i="17" s="1"/>
  <c r="T27" i="17" s="1"/>
  <c r="E27" i="17"/>
  <c r="Q27" i="17" s="1"/>
  <c r="C27" i="17"/>
  <c r="P27" i="17" s="1"/>
  <c r="M26" i="17"/>
  <c r="L26" i="17"/>
  <c r="K26" i="17"/>
  <c r="J26" i="17"/>
  <c r="H26" i="17"/>
  <c r="I26" i="17" s="1"/>
  <c r="T26" i="17" s="1"/>
  <c r="E26" i="17"/>
  <c r="Q26" i="17" s="1"/>
  <c r="C26" i="17"/>
  <c r="P26" i="17" s="1"/>
  <c r="M25" i="17"/>
  <c r="L25" i="17"/>
  <c r="K25" i="17"/>
  <c r="J25" i="17"/>
  <c r="H25" i="17"/>
  <c r="I25" i="17" s="1"/>
  <c r="T25" i="17" s="1"/>
  <c r="E25" i="17"/>
  <c r="Q25" i="17" s="1"/>
  <c r="C25" i="17"/>
  <c r="P25" i="17" s="1"/>
  <c r="M24" i="17"/>
  <c r="L24" i="17"/>
  <c r="K24" i="17"/>
  <c r="J24" i="17"/>
  <c r="E24" i="17"/>
  <c r="Q24" i="17" s="1"/>
  <c r="C24" i="17"/>
  <c r="P24" i="17" s="1"/>
  <c r="L23" i="17"/>
  <c r="M23" i="17" s="1"/>
  <c r="J23" i="17"/>
  <c r="K23" i="17" s="1"/>
  <c r="H23" i="17"/>
  <c r="I23" i="17" s="1"/>
  <c r="T23" i="17" s="1"/>
  <c r="L22" i="17"/>
  <c r="M22" i="17" s="1"/>
  <c r="J22" i="17"/>
  <c r="K22" i="17" s="1"/>
  <c r="H22" i="17"/>
  <c r="I22" i="17" s="1"/>
  <c r="T22" i="17" s="1"/>
  <c r="L21" i="17"/>
  <c r="M21" i="17" s="1"/>
  <c r="J21" i="17"/>
  <c r="K21" i="17" s="1"/>
  <c r="H21" i="17"/>
  <c r="I21" i="17" s="1"/>
  <c r="T21" i="17" s="1"/>
  <c r="L20" i="17"/>
  <c r="M20" i="17" s="1"/>
  <c r="J20" i="17"/>
  <c r="K20" i="17" s="1"/>
  <c r="H20" i="17"/>
  <c r="I20" i="17" s="1"/>
  <c r="T20" i="17" s="1"/>
  <c r="L19" i="17"/>
  <c r="M19" i="17" s="1"/>
  <c r="J19" i="17"/>
  <c r="K19" i="17" s="1"/>
  <c r="H19" i="17"/>
  <c r="I19" i="17" s="1"/>
  <c r="T19" i="17" s="1"/>
  <c r="L18" i="17"/>
  <c r="M18" i="17" s="1"/>
  <c r="J18" i="17"/>
  <c r="K18" i="17" s="1"/>
  <c r="H18" i="17"/>
  <c r="I18" i="17" s="1"/>
  <c r="T18" i="17" s="1"/>
  <c r="L17" i="17"/>
  <c r="M17" i="17" s="1"/>
  <c r="J17" i="17"/>
  <c r="K17" i="17" s="1"/>
  <c r="H17" i="17"/>
  <c r="I17" i="17" s="1"/>
  <c r="T17" i="17" s="1"/>
  <c r="L16" i="17"/>
  <c r="M16" i="17" s="1"/>
  <c r="J16" i="17"/>
  <c r="K16" i="17" s="1"/>
  <c r="H16" i="17"/>
  <c r="I16" i="17" s="1"/>
  <c r="T16" i="17" s="1"/>
  <c r="L15" i="17"/>
  <c r="M15" i="17" s="1"/>
  <c r="J15" i="17"/>
  <c r="K15" i="17" s="1"/>
  <c r="H15" i="17"/>
  <c r="I15" i="17" s="1"/>
  <c r="T15" i="17" s="1"/>
  <c r="L14" i="17"/>
  <c r="M14" i="17" s="1"/>
  <c r="J14" i="17"/>
  <c r="K14" i="17" s="1"/>
  <c r="H14" i="17"/>
  <c r="I14" i="17" s="1"/>
  <c r="T14" i="17" s="1"/>
  <c r="L13" i="17"/>
  <c r="M13" i="17" s="1"/>
  <c r="J13" i="17"/>
  <c r="K13" i="17" s="1"/>
  <c r="H13" i="17"/>
  <c r="I13" i="17" s="1"/>
  <c r="T13" i="17" s="1"/>
  <c r="L12" i="17"/>
  <c r="M12" i="17" s="1"/>
  <c r="J12" i="17"/>
  <c r="K12" i="17" s="1"/>
  <c r="H12" i="17"/>
  <c r="I12" i="17" s="1"/>
  <c r="T12" i="17" s="1"/>
  <c r="L11" i="17"/>
  <c r="M11" i="17" s="1"/>
  <c r="J11" i="17"/>
  <c r="K11" i="17" s="1"/>
  <c r="H11" i="17"/>
  <c r="I11" i="17" s="1"/>
  <c r="T11" i="17" s="1"/>
  <c r="L10" i="17"/>
  <c r="M10" i="17" s="1"/>
  <c r="J10" i="17"/>
  <c r="K10" i="17" s="1"/>
  <c r="H10" i="17"/>
  <c r="I10" i="17" s="1"/>
  <c r="T10" i="17" s="1"/>
  <c r="L9" i="17"/>
  <c r="M9" i="17" s="1"/>
  <c r="J9" i="17"/>
  <c r="K9" i="17" s="1"/>
  <c r="H9" i="17"/>
  <c r="I9" i="17" s="1"/>
  <c r="T9" i="17" s="1"/>
  <c r="L8" i="17"/>
  <c r="M8" i="17" s="1"/>
  <c r="J8" i="17"/>
  <c r="K8" i="17" s="1"/>
  <c r="H8" i="17"/>
  <c r="I8" i="17" s="1"/>
  <c r="T8" i="17" s="1"/>
  <c r="L7" i="17"/>
  <c r="M7" i="17" s="1"/>
  <c r="J7" i="17"/>
  <c r="K7" i="17" s="1"/>
  <c r="H7" i="17"/>
  <c r="I7" i="17" s="1"/>
  <c r="T7" i="17" s="1"/>
  <c r="L6" i="17"/>
  <c r="M6" i="17" s="1"/>
  <c r="J6" i="17"/>
  <c r="K6" i="17" s="1"/>
  <c r="H6" i="17"/>
  <c r="I6" i="17" s="1"/>
  <c r="T6" i="17" s="1"/>
  <c r="L5" i="17"/>
  <c r="M5" i="17" s="1"/>
  <c r="J5" i="17"/>
  <c r="K5" i="17" s="1"/>
  <c r="H5" i="17"/>
  <c r="I5" i="17" s="1"/>
  <c r="T5" i="17" s="1"/>
  <c r="L4" i="17"/>
  <c r="M4" i="17" s="1"/>
  <c r="J4" i="17"/>
  <c r="K4" i="17" s="1"/>
  <c r="H4" i="17"/>
  <c r="I4" i="17" s="1"/>
  <c r="T4" i="17" s="1"/>
  <c r="T3" i="17"/>
  <c r="H3" i="17"/>
  <c r="E3" i="17"/>
  <c r="C3" i="17"/>
  <c r="P3" i="17" s="1"/>
  <c r="F63" i="8"/>
  <c r="E63" i="8"/>
  <c r="C63" i="8"/>
  <c r="F62" i="8"/>
  <c r="E62" i="8"/>
  <c r="C62" i="8"/>
  <c r="F61" i="8"/>
  <c r="E61" i="8"/>
  <c r="C61" i="8"/>
  <c r="F60" i="8"/>
  <c r="E60" i="8"/>
  <c r="C60" i="8"/>
  <c r="F59" i="8"/>
  <c r="E59" i="8"/>
  <c r="C59" i="8"/>
  <c r="F58" i="8"/>
  <c r="E58" i="8"/>
  <c r="C58" i="8"/>
  <c r="F57" i="8"/>
  <c r="E57" i="8"/>
  <c r="C57" i="8"/>
  <c r="F56" i="8"/>
  <c r="E56" i="8"/>
  <c r="C56" i="8"/>
  <c r="F55" i="8"/>
  <c r="E55" i="8"/>
  <c r="C55" i="8"/>
  <c r="F54" i="8"/>
  <c r="E54" i="8"/>
  <c r="C54" i="8"/>
  <c r="F53" i="8"/>
  <c r="E53" i="8"/>
  <c r="C53" i="8"/>
  <c r="F52" i="8"/>
  <c r="E52" i="8"/>
  <c r="C52" i="8"/>
  <c r="F51" i="8"/>
  <c r="E51" i="8"/>
  <c r="C51" i="8"/>
  <c r="F50" i="8"/>
  <c r="E50" i="8"/>
  <c r="C50" i="8"/>
  <c r="F49" i="8"/>
  <c r="E49" i="8"/>
  <c r="C49" i="8"/>
  <c r="F48" i="8"/>
  <c r="E48" i="8"/>
  <c r="C48" i="8"/>
  <c r="F47" i="8"/>
  <c r="E47" i="8"/>
  <c r="C47" i="8"/>
  <c r="F46" i="8"/>
  <c r="E46" i="8"/>
  <c r="C46" i="8"/>
  <c r="F45" i="8"/>
  <c r="E45" i="8"/>
  <c r="C45" i="8"/>
  <c r="F44" i="8"/>
  <c r="E44" i="8"/>
  <c r="C44" i="8"/>
  <c r="F43" i="8"/>
  <c r="E43" i="8"/>
  <c r="C43" i="8"/>
  <c r="F42" i="8"/>
  <c r="E42" i="8"/>
  <c r="C42" i="8"/>
  <c r="F41" i="8"/>
  <c r="E41" i="8"/>
  <c r="C41" i="8"/>
  <c r="F40" i="8"/>
  <c r="E40" i="8"/>
  <c r="C40" i="8"/>
  <c r="F39" i="8"/>
  <c r="E39" i="8"/>
  <c r="C39" i="8"/>
  <c r="F38" i="8"/>
  <c r="E38" i="8"/>
  <c r="C38" i="8"/>
  <c r="F37" i="8"/>
  <c r="E37" i="8"/>
  <c r="C37" i="8"/>
  <c r="F36" i="8"/>
  <c r="E36" i="8"/>
  <c r="C36" i="8"/>
  <c r="F35" i="8"/>
  <c r="E35" i="8"/>
  <c r="C35" i="8"/>
  <c r="F34" i="8"/>
  <c r="E34" i="8"/>
  <c r="C34" i="8"/>
  <c r="F33" i="8"/>
  <c r="E33" i="8"/>
  <c r="C33" i="8"/>
  <c r="F32" i="8"/>
  <c r="E32" i="8"/>
  <c r="C32" i="8"/>
  <c r="F31" i="8"/>
  <c r="E31" i="8"/>
  <c r="C31" i="8"/>
  <c r="F30" i="8"/>
  <c r="E30" i="8"/>
  <c r="C30" i="8"/>
  <c r="F29" i="8"/>
  <c r="E29" i="8"/>
  <c r="C29" i="8"/>
  <c r="F28" i="8"/>
  <c r="E28" i="8"/>
  <c r="C28" i="8"/>
  <c r="F27" i="8"/>
  <c r="E27" i="8"/>
  <c r="C27" i="8"/>
  <c r="F26" i="8"/>
  <c r="E26" i="8"/>
  <c r="C26" i="8"/>
  <c r="F25" i="8"/>
  <c r="E25" i="8"/>
  <c r="C25" i="8"/>
  <c r="F24" i="8"/>
  <c r="E24" i="8"/>
  <c r="C24" i="8"/>
  <c r="J23" i="8"/>
  <c r="E23" i="8"/>
  <c r="F23" i="8" s="1"/>
  <c r="K23" i="8" s="1"/>
  <c r="J22" i="8"/>
  <c r="E22" i="8"/>
  <c r="F22" i="8" s="1"/>
  <c r="K22" i="8" s="1"/>
  <c r="J21" i="8"/>
  <c r="E21" i="8"/>
  <c r="F21" i="8" s="1"/>
  <c r="K21" i="8" s="1"/>
  <c r="J20" i="8"/>
  <c r="E20" i="8"/>
  <c r="F20" i="8" s="1"/>
  <c r="K20" i="8" s="1"/>
  <c r="J19" i="8"/>
  <c r="E19" i="8"/>
  <c r="F19" i="8" s="1"/>
  <c r="K19" i="8" s="1"/>
  <c r="J18" i="8"/>
  <c r="E18" i="8"/>
  <c r="F18" i="8" s="1"/>
  <c r="K18" i="8" s="1"/>
  <c r="J17" i="8"/>
  <c r="E17" i="8"/>
  <c r="F17" i="8" s="1"/>
  <c r="K17" i="8" s="1"/>
  <c r="J16" i="8"/>
  <c r="E16" i="8"/>
  <c r="F16" i="8" s="1"/>
  <c r="K16" i="8" s="1"/>
  <c r="J15" i="8"/>
  <c r="E15" i="8"/>
  <c r="F15" i="8" s="1"/>
  <c r="K15" i="8" s="1"/>
  <c r="J14" i="8"/>
  <c r="E14" i="8"/>
  <c r="F14" i="8" s="1"/>
  <c r="K14" i="8" s="1"/>
  <c r="J13" i="8"/>
  <c r="E13" i="8"/>
  <c r="F13" i="8" s="1"/>
  <c r="K13" i="8" s="1"/>
  <c r="J12" i="8"/>
  <c r="E12" i="8"/>
  <c r="F12" i="8" s="1"/>
  <c r="K12" i="8" s="1"/>
  <c r="J11" i="8"/>
  <c r="E11" i="8"/>
  <c r="F11" i="8" s="1"/>
  <c r="K11" i="8" s="1"/>
  <c r="J10" i="8"/>
  <c r="E10" i="8"/>
  <c r="F10" i="8" s="1"/>
  <c r="K10" i="8" s="1"/>
  <c r="J9" i="8"/>
  <c r="E9" i="8"/>
  <c r="F9" i="8" s="1"/>
  <c r="K9" i="8" s="1"/>
  <c r="J8" i="8"/>
  <c r="E8" i="8"/>
  <c r="F8" i="8" s="1"/>
  <c r="K8" i="8" s="1"/>
  <c r="J7" i="8"/>
  <c r="E7" i="8"/>
  <c r="F7" i="8" s="1"/>
  <c r="K7" i="8" s="1"/>
  <c r="J6" i="8"/>
  <c r="E6" i="8"/>
  <c r="F6" i="8" s="1"/>
  <c r="K6" i="8" s="1"/>
  <c r="J5" i="8"/>
  <c r="E5" i="8"/>
  <c r="F5" i="8" s="1"/>
  <c r="K5" i="8" s="1"/>
  <c r="J4" i="8"/>
  <c r="E4" i="8"/>
  <c r="F4" i="8" s="1"/>
  <c r="K4" i="8" s="1"/>
  <c r="C3" i="8"/>
  <c r="I3" i="8" s="1"/>
  <c r="G30" i="18"/>
  <c r="G29" i="18"/>
  <c r="H29" i="18"/>
  <c r="I28" i="18"/>
  <c r="G28" i="18"/>
  <c r="H27" i="18"/>
  <c r="I27" i="18"/>
  <c r="G27" i="18"/>
  <c r="H26" i="18"/>
  <c r="I26" i="18"/>
  <c r="G26" i="18"/>
  <c r="H25" i="18"/>
  <c r="I25" i="18"/>
  <c r="G25" i="18"/>
  <c r="H24" i="18"/>
  <c r="I24" i="18"/>
  <c r="G24" i="18"/>
  <c r="H23" i="18"/>
  <c r="I23" i="18"/>
  <c r="G23" i="18"/>
  <c r="H22" i="18"/>
  <c r="I22" i="18"/>
  <c r="G22" i="18"/>
  <c r="H21" i="18"/>
  <c r="I21" i="18"/>
  <c r="G21" i="18"/>
  <c r="H20" i="18"/>
  <c r="I20" i="18"/>
  <c r="G20" i="18"/>
  <c r="H19" i="18"/>
  <c r="I19" i="18"/>
  <c r="G19" i="18"/>
  <c r="H18" i="18"/>
  <c r="I18" i="18"/>
  <c r="G18" i="18"/>
  <c r="H17" i="18"/>
  <c r="I17" i="18"/>
  <c r="G17" i="18"/>
  <c r="H16" i="18"/>
  <c r="I16" i="18"/>
  <c r="G16" i="18"/>
  <c r="H15" i="18"/>
  <c r="I15" i="18"/>
  <c r="G15" i="18"/>
  <c r="H14" i="18"/>
  <c r="I14" i="18"/>
  <c r="G14" i="18"/>
  <c r="H13" i="18"/>
  <c r="I13" i="18"/>
  <c r="G13" i="18"/>
  <c r="H12" i="18"/>
  <c r="I12" i="18"/>
  <c r="G12" i="18"/>
  <c r="I18" i="9" s="1"/>
  <c r="G18" i="9" s="1"/>
  <c r="H11" i="18"/>
  <c r="I11" i="18"/>
  <c r="G11" i="18"/>
  <c r="H10" i="18"/>
  <c r="I10" i="18"/>
  <c r="G10" i="18"/>
  <c r="H9" i="18"/>
  <c r="I9" i="18"/>
  <c r="G9" i="18"/>
  <c r="H8" i="18"/>
  <c r="I8" i="18"/>
  <c r="I7" i="18"/>
  <c r="H7" i="18"/>
  <c r="I6" i="18"/>
  <c r="H6" i="18"/>
  <c r="I5" i="18"/>
  <c r="H4" i="18"/>
  <c r="I4" i="18"/>
  <c r="I3" i="18"/>
  <c r="H3" i="18"/>
  <c r="G3" i="18"/>
  <c r="C38" i="19"/>
  <c r="C37" i="21"/>
  <c r="C41" i="21" s="1"/>
  <c r="J31" i="21"/>
  <c r="I31" i="21"/>
  <c r="H31" i="21"/>
  <c r="J30" i="21"/>
  <c r="I30" i="21"/>
  <c r="H30" i="21"/>
  <c r="J29" i="21"/>
  <c r="I29" i="21"/>
  <c r="H29" i="21"/>
  <c r="J28" i="21"/>
  <c r="I28" i="21"/>
  <c r="H28" i="21"/>
  <c r="J27" i="21"/>
  <c r="I27" i="21"/>
  <c r="H27" i="21"/>
  <c r="J26" i="21"/>
  <c r="I26" i="21"/>
  <c r="H26" i="21"/>
  <c r="J25" i="21"/>
  <c r="I25" i="21"/>
  <c r="H25" i="21"/>
  <c r="J24" i="21"/>
  <c r="I24" i="21"/>
  <c r="H24" i="21"/>
  <c r="J23" i="21"/>
  <c r="I23" i="21"/>
  <c r="H23" i="21"/>
  <c r="J22" i="21"/>
  <c r="I22" i="21"/>
  <c r="H22" i="21"/>
  <c r="J21" i="21"/>
  <c r="I21" i="21"/>
  <c r="H21" i="21"/>
  <c r="J20" i="21"/>
  <c r="I20" i="21"/>
  <c r="H20" i="21"/>
  <c r="J19" i="21"/>
  <c r="I19" i="21"/>
  <c r="H19" i="21"/>
  <c r="J18" i="21"/>
  <c r="I18" i="21"/>
  <c r="H18" i="21"/>
  <c r="J17" i="21"/>
  <c r="I17" i="21"/>
  <c r="C38" i="20"/>
  <c r="C39" i="20" s="1"/>
  <c r="C46" i="20" s="1"/>
  <c r="L31" i="20"/>
  <c r="M31" i="20" s="1"/>
  <c r="I31" i="20" s="1"/>
  <c r="J31" i="20"/>
  <c r="G31" i="20" s="1"/>
  <c r="L30" i="20"/>
  <c r="M30" i="20" s="1"/>
  <c r="I30" i="20" s="1"/>
  <c r="J30" i="20"/>
  <c r="G30" i="20" s="1"/>
  <c r="L29" i="20"/>
  <c r="M29" i="20" s="1"/>
  <c r="I29" i="20" s="1"/>
  <c r="J29" i="20"/>
  <c r="G29" i="20" s="1"/>
  <c r="L28" i="20"/>
  <c r="M28" i="20" s="1"/>
  <c r="I28" i="20" s="1"/>
  <c r="J28" i="20"/>
  <c r="G28" i="20" s="1"/>
  <c r="L27" i="20"/>
  <c r="M27" i="20" s="1"/>
  <c r="I27" i="20" s="1"/>
  <c r="J27" i="20"/>
  <c r="G27" i="20" s="1"/>
  <c r="L26" i="20"/>
  <c r="M26" i="20" s="1"/>
  <c r="I26" i="20" s="1"/>
  <c r="J26" i="20"/>
  <c r="G26" i="20" s="1"/>
  <c r="L25" i="20"/>
  <c r="M25" i="20" s="1"/>
  <c r="I25" i="20" s="1"/>
  <c r="J25" i="20" s="1"/>
  <c r="G25" i="20" s="1"/>
  <c r="L24" i="20"/>
  <c r="M24" i="20" s="1"/>
  <c r="I24" i="20" s="1"/>
  <c r="J24" i="20" s="1"/>
  <c r="G24" i="20" s="1"/>
  <c r="L23" i="20"/>
  <c r="M23" i="20" s="1"/>
  <c r="I23" i="20" s="1"/>
  <c r="J23" i="20" s="1"/>
  <c r="G23" i="20" s="1"/>
  <c r="L22" i="20"/>
  <c r="M22" i="20" s="1"/>
  <c r="I22" i="20" s="1"/>
  <c r="J22" i="20" s="1"/>
  <c r="G22" i="20" s="1"/>
  <c r="L21" i="20"/>
  <c r="M21" i="20" s="1"/>
  <c r="I21" i="20" s="1"/>
  <c r="J21" i="20" s="1"/>
  <c r="G21" i="20" s="1"/>
  <c r="L20" i="20"/>
  <c r="M20" i="20" s="1"/>
  <c r="I20" i="20" s="1"/>
  <c r="J20" i="20" s="1"/>
  <c r="G20" i="20" s="1"/>
  <c r="L19" i="20"/>
  <c r="M19" i="20" s="1"/>
  <c r="I19" i="20" s="1"/>
  <c r="J19" i="20"/>
  <c r="G19" i="20" s="1"/>
  <c r="L18" i="20"/>
  <c r="M18" i="20" s="1"/>
  <c r="I18" i="20" s="1"/>
  <c r="L17" i="20"/>
  <c r="M17" i="20" s="1"/>
  <c r="I17" i="20" s="1"/>
  <c r="C39" i="19"/>
  <c r="C40" i="19" s="1"/>
  <c r="C47" i="19" s="1"/>
  <c r="L31" i="19"/>
  <c r="M31" i="19" s="1"/>
  <c r="I31" i="19" s="1"/>
  <c r="J31" i="19"/>
  <c r="G31" i="19" s="1"/>
  <c r="L30" i="19"/>
  <c r="M30" i="19" s="1"/>
  <c r="I30" i="19" s="1"/>
  <c r="J30" i="19"/>
  <c r="G30" i="19" s="1"/>
  <c r="L29" i="19"/>
  <c r="M29" i="19" s="1"/>
  <c r="I29" i="19" s="1"/>
  <c r="J29" i="19"/>
  <c r="G29" i="19" s="1"/>
  <c r="L28" i="19"/>
  <c r="M28" i="19" s="1"/>
  <c r="I28" i="19" s="1"/>
  <c r="J28" i="19"/>
  <c r="G28" i="19" s="1"/>
  <c r="L27" i="19"/>
  <c r="M27" i="19" s="1"/>
  <c r="I27" i="19" s="1"/>
  <c r="J27" i="19"/>
  <c r="G27" i="19" s="1"/>
  <c r="L26" i="19"/>
  <c r="M26" i="19" s="1"/>
  <c r="I26" i="19" s="1"/>
  <c r="J26" i="19" s="1"/>
  <c r="G26" i="19" s="1"/>
  <c r="L25" i="19"/>
  <c r="M25" i="19" s="1"/>
  <c r="I25" i="19" s="1"/>
  <c r="J25" i="19"/>
  <c r="G25" i="19" s="1"/>
  <c r="L24" i="19"/>
  <c r="M24" i="19" s="1"/>
  <c r="I24" i="19" s="1"/>
  <c r="J24" i="19" s="1"/>
  <c r="G24" i="19" s="1"/>
  <c r="L23" i="19"/>
  <c r="M23" i="19" s="1"/>
  <c r="I23" i="19" s="1"/>
  <c r="J23" i="19" s="1"/>
  <c r="G23" i="19" s="1"/>
  <c r="L22" i="19"/>
  <c r="M22" i="19" s="1"/>
  <c r="I22" i="19" s="1"/>
  <c r="J22" i="19" s="1"/>
  <c r="G22" i="19" s="1"/>
  <c r="L21" i="19"/>
  <c r="M21" i="19" s="1"/>
  <c r="I21" i="19" s="1"/>
  <c r="L20" i="19"/>
  <c r="M20" i="19" s="1"/>
  <c r="I20" i="19" s="1"/>
  <c r="L19" i="19"/>
  <c r="M19" i="19" s="1"/>
  <c r="I19" i="19" s="1"/>
  <c r="L18" i="19"/>
  <c r="M18" i="19" s="1"/>
  <c r="I18" i="19" s="1"/>
  <c r="L17" i="19"/>
  <c r="M17" i="19" s="1"/>
  <c r="I17" i="19" s="1"/>
  <c r="C53" i="10"/>
  <c r="C52" i="10"/>
  <c r="C49" i="10"/>
  <c r="H24" i="17" s="1"/>
  <c r="I24" i="17" s="1"/>
  <c r="T24" i="17" s="1"/>
  <c r="I32" i="10"/>
  <c r="I31" i="10"/>
  <c r="I30" i="10"/>
  <c r="I29" i="10"/>
  <c r="I28" i="10"/>
  <c r="I27" i="10"/>
  <c r="I26" i="10"/>
  <c r="I25" i="10"/>
  <c r="I24" i="10"/>
  <c r="I23" i="10"/>
  <c r="I22" i="10"/>
  <c r="I21" i="10"/>
  <c r="I20" i="10"/>
  <c r="I31" i="9"/>
  <c r="G31" i="9" s="1"/>
  <c r="I30" i="9"/>
  <c r="G30" i="9" s="1"/>
  <c r="I29" i="9"/>
  <c r="G29" i="9" s="1"/>
  <c r="I28" i="9"/>
  <c r="G28" i="9" s="1"/>
  <c r="I27" i="9"/>
  <c r="G27" i="9" s="1"/>
  <c r="I26" i="9"/>
  <c r="G26" i="9" s="1"/>
  <c r="I25" i="9"/>
  <c r="G25" i="9" s="1"/>
  <c r="I24" i="9"/>
  <c r="G24" i="9" s="1"/>
  <c r="I23" i="9"/>
  <c r="G23" i="9" s="1"/>
  <c r="I22" i="9"/>
  <c r="G22" i="9" s="1"/>
  <c r="I21" i="9"/>
  <c r="G21" i="9" s="1"/>
  <c r="I20" i="9"/>
  <c r="G20" i="9" s="1"/>
  <c r="I19" i="9"/>
  <c r="G19" i="9" s="1"/>
  <c r="J18" i="20" l="1"/>
  <c r="G18" i="20" s="1"/>
  <c r="I17" i="9"/>
  <c r="G17" i="9" s="1"/>
  <c r="G32" i="9" s="1"/>
  <c r="C51" i="9" s="1"/>
  <c r="B22" i="8" s="1"/>
  <c r="C22" i="8" s="1"/>
  <c r="I22" i="8" s="1"/>
  <c r="U7" i="17"/>
  <c r="G22" i="21"/>
  <c r="G30" i="21"/>
  <c r="I19" i="10"/>
  <c r="U16" i="17"/>
  <c r="G29" i="21"/>
  <c r="G18" i="21"/>
  <c r="G26" i="21"/>
  <c r="U12" i="17"/>
  <c r="K18" i="19"/>
  <c r="H18" i="19" s="1"/>
  <c r="I18" i="10"/>
  <c r="U20" i="17"/>
  <c r="G31" i="21"/>
  <c r="G20" i="21"/>
  <c r="G28" i="21"/>
  <c r="G24" i="21"/>
  <c r="U24" i="17"/>
  <c r="U26" i="17"/>
  <c r="U28" i="17"/>
  <c r="U30" i="17"/>
  <c r="U32" i="17"/>
  <c r="U14" i="17"/>
  <c r="K20" i="19"/>
  <c r="H20" i="19" s="1"/>
  <c r="J18" i="19"/>
  <c r="G18" i="19" s="1"/>
  <c r="G21" i="21"/>
  <c r="U15" i="17"/>
  <c r="J19" i="19"/>
  <c r="G19" i="19" s="1"/>
  <c r="H17" i="21"/>
  <c r="I32" i="21" s="1"/>
  <c r="G23" i="21"/>
  <c r="U18" i="17"/>
  <c r="J20" i="19"/>
  <c r="G20" i="19" s="1"/>
  <c r="G3" i="17"/>
  <c r="S3" i="17" s="1"/>
  <c r="S35" i="17" s="1"/>
  <c r="G19" i="21"/>
  <c r="G27" i="21"/>
  <c r="L3" i="25"/>
  <c r="L46" i="25" s="1"/>
  <c r="G25" i="21"/>
  <c r="U11" i="17"/>
  <c r="U19" i="17"/>
  <c r="J32" i="21"/>
  <c r="K25" i="8"/>
  <c r="J21" i="19"/>
  <c r="G21" i="19" s="1"/>
  <c r="K17" i="20"/>
  <c r="H17" i="20" s="1"/>
  <c r="K19" i="19"/>
  <c r="H19" i="19" s="1"/>
  <c r="K21" i="19"/>
  <c r="H21" i="19" s="1"/>
  <c r="J17" i="20"/>
  <c r="K17" i="19"/>
  <c r="H17" i="19" s="1"/>
  <c r="C44" i="19"/>
  <c r="J17" i="19"/>
  <c r="G17" i="19" s="1"/>
  <c r="M64" i="17"/>
  <c r="U8" i="17"/>
  <c r="U5" i="17"/>
  <c r="U6" i="17"/>
  <c r="U9" i="17"/>
  <c r="U10" i="17"/>
  <c r="U13" i="17"/>
  <c r="U17" i="17"/>
  <c r="U23" i="17"/>
  <c r="U25" i="17"/>
  <c r="U27" i="17"/>
  <c r="U29" i="17"/>
  <c r="U31" i="17"/>
  <c r="U33" i="17"/>
  <c r="U21" i="17"/>
  <c r="U22" i="17"/>
  <c r="F63" i="25"/>
  <c r="G63" i="25" s="1"/>
  <c r="F62" i="25"/>
  <c r="G62" i="25" s="1"/>
  <c r="F61" i="25"/>
  <c r="G61" i="25" s="1"/>
  <c r="F60" i="25"/>
  <c r="G60" i="25" s="1"/>
  <c r="F59" i="25"/>
  <c r="G59" i="25" s="1"/>
  <c r="F58" i="25"/>
  <c r="G58" i="25" s="1"/>
  <c r="F57" i="25"/>
  <c r="G57" i="25" s="1"/>
  <c r="F56" i="25"/>
  <c r="G56" i="25" s="1"/>
  <c r="F55" i="25"/>
  <c r="G55" i="25" s="1"/>
  <c r="F54" i="25"/>
  <c r="G54" i="25" s="1"/>
  <c r="F53" i="25"/>
  <c r="G53" i="25" s="1"/>
  <c r="F52" i="25"/>
  <c r="G52" i="25" s="1"/>
  <c r="F51" i="25"/>
  <c r="G51" i="25" s="1"/>
  <c r="F50" i="25"/>
  <c r="G50" i="25" s="1"/>
  <c r="F49" i="25"/>
  <c r="G49" i="25" s="1"/>
  <c r="F48" i="25"/>
  <c r="G48" i="25" s="1"/>
  <c r="F47" i="25"/>
  <c r="G47" i="25" s="1"/>
  <c r="F46" i="25"/>
  <c r="G46" i="25" s="1"/>
  <c r="F45" i="25"/>
  <c r="G45" i="25" s="1"/>
  <c r="F43" i="25"/>
  <c r="G43" i="25" s="1"/>
  <c r="M43" i="25" s="1"/>
  <c r="F41" i="25"/>
  <c r="G41" i="25" s="1"/>
  <c r="M41" i="25" s="1"/>
  <c r="F39" i="25"/>
  <c r="G39" i="25" s="1"/>
  <c r="M39" i="25" s="1"/>
  <c r="F37" i="25"/>
  <c r="G37" i="25" s="1"/>
  <c r="M37" i="25" s="1"/>
  <c r="F35" i="25"/>
  <c r="G35" i="25" s="1"/>
  <c r="M35" i="25" s="1"/>
  <c r="F33" i="25"/>
  <c r="G33" i="25" s="1"/>
  <c r="M33" i="25" s="1"/>
  <c r="F31" i="25"/>
  <c r="G31" i="25" s="1"/>
  <c r="M31" i="25" s="1"/>
  <c r="F29" i="25"/>
  <c r="G29" i="25" s="1"/>
  <c r="M29" i="25" s="1"/>
  <c r="F27" i="25"/>
  <c r="G27" i="25" s="1"/>
  <c r="M27" i="25" s="1"/>
  <c r="F25" i="25"/>
  <c r="G25" i="25" s="1"/>
  <c r="M25" i="25" s="1"/>
  <c r="F23" i="25"/>
  <c r="G23" i="25" s="1"/>
  <c r="M23" i="25" s="1"/>
  <c r="F21" i="25"/>
  <c r="G21" i="25" s="1"/>
  <c r="M21" i="25" s="1"/>
  <c r="F19" i="25"/>
  <c r="G19" i="25" s="1"/>
  <c r="M19" i="25" s="1"/>
  <c r="F17" i="25"/>
  <c r="G17" i="25" s="1"/>
  <c r="M17" i="25" s="1"/>
  <c r="F44" i="25"/>
  <c r="G44" i="25" s="1"/>
  <c r="M44" i="25" s="1"/>
  <c r="F42" i="25"/>
  <c r="G42" i="25" s="1"/>
  <c r="M42" i="25" s="1"/>
  <c r="F40" i="25"/>
  <c r="G40" i="25" s="1"/>
  <c r="M40" i="25" s="1"/>
  <c r="F38" i="25"/>
  <c r="G38" i="25" s="1"/>
  <c r="M38" i="25" s="1"/>
  <c r="F36" i="25"/>
  <c r="G36" i="25" s="1"/>
  <c r="M36" i="25" s="1"/>
  <c r="F34" i="25"/>
  <c r="G34" i="25" s="1"/>
  <c r="M34" i="25" s="1"/>
  <c r="F32" i="25"/>
  <c r="G32" i="25" s="1"/>
  <c r="M32" i="25" s="1"/>
  <c r="F30" i="25"/>
  <c r="G30" i="25" s="1"/>
  <c r="M30" i="25" s="1"/>
  <c r="F28" i="25"/>
  <c r="G28" i="25" s="1"/>
  <c r="M28" i="25" s="1"/>
  <c r="F26" i="25"/>
  <c r="G26" i="25" s="1"/>
  <c r="M26" i="25" s="1"/>
  <c r="F24" i="25"/>
  <c r="G24" i="25" s="1"/>
  <c r="M24" i="25" s="1"/>
  <c r="F22" i="25"/>
  <c r="G22" i="25" s="1"/>
  <c r="M22" i="25" s="1"/>
  <c r="F20" i="25"/>
  <c r="G20" i="25" s="1"/>
  <c r="M20" i="25" s="1"/>
  <c r="F18" i="25"/>
  <c r="G18" i="25" s="1"/>
  <c r="M18" i="25" s="1"/>
  <c r="F16" i="25"/>
  <c r="G16" i="25" s="1"/>
  <c r="M16" i="25" s="1"/>
  <c r="F14" i="25"/>
  <c r="G14" i="25" s="1"/>
  <c r="M14" i="25" s="1"/>
  <c r="F12" i="25"/>
  <c r="G12" i="25" s="1"/>
  <c r="M12" i="25" s="1"/>
  <c r="F10" i="25"/>
  <c r="G10" i="25" s="1"/>
  <c r="M10" i="25" s="1"/>
  <c r="F8" i="25"/>
  <c r="G8" i="25" s="1"/>
  <c r="M8" i="25" s="1"/>
  <c r="F6" i="25"/>
  <c r="G6" i="25" s="1"/>
  <c r="M6" i="25" s="1"/>
  <c r="F4" i="25"/>
  <c r="G4" i="25" s="1"/>
  <c r="F15" i="25"/>
  <c r="G15" i="25" s="1"/>
  <c r="M15" i="25" s="1"/>
  <c r="F13" i="25"/>
  <c r="G13" i="25" s="1"/>
  <c r="M13" i="25" s="1"/>
  <c r="F11" i="25"/>
  <c r="G11" i="25" s="1"/>
  <c r="M11" i="25" s="1"/>
  <c r="F9" i="25"/>
  <c r="G9" i="25" s="1"/>
  <c r="M9" i="25" s="1"/>
  <c r="F7" i="25"/>
  <c r="G7" i="25" s="1"/>
  <c r="M7" i="25" s="1"/>
  <c r="F5" i="25"/>
  <c r="G5" i="25" s="1"/>
  <c r="M5" i="25" s="1"/>
  <c r="C38" i="10"/>
  <c r="C41" i="10" s="1"/>
  <c r="C48" i="10" s="1"/>
  <c r="H5" i="18"/>
  <c r="K18" i="10" s="1"/>
  <c r="J18" i="10" s="1"/>
  <c r="F46" i="24"/>
  <c r="F44" i="24"/>
  <c r="F63" i="24"/>
  <c r="F61" i="24"/>
  <c r="F59" i="24"/>
  <c r="F57" i="24"/>
  <c r="F55" i="24"/>
  <c r="F53" i="24"/>
  <c r="F51" i="24"/>
  <c r="F49" i="24"/>
  <c r="F47" i="24"/>
  <c r="F45" i="24"/>
  <c r="F43" i="24"/>
  <c r="G43" i="24" s="1"/>
  <c r="M43" i="24" s="1"/>
  <c r="F42" i="24"/>
  <c r="G42" i="24" s="1"/>
  <c r="M42" i="24" s="1"/>
  <c r="F41" i="24"/>
  <c r="G41" i="24" s="1"/>
  <c r="M41" i="24" s="1"/>
  <c r="F40" i="24"/>
  <c r="G40" i="24" s="1"/>
  <c r="M40" i="24" s="1"/>
  <c r="F39" i="24"/>
  <c r="G39" i="24" s="1"/>
  <c r="M39" i="24" s="1"/>
  <c r="F38" i="24"/>
  <c r="G38" i="24" s="1"/>
  <c r="M38" i="24" s="1"/>
  <c r="F37" i="24"/>
  <c r="G37" i="24" s="1"/>
  <c r="M37" i="24" s="1"/>
  <c r="F36" i="24"/>
  <c r="G36" i="24" s="1"/>
  <c r="M36" i="24" s="1"/>
  <c r="F35" i="24"/>
  <c r="G35" i="24" s="1"/>
  <c r="M35" i="24" s="1"/>
  <c r="F34" i="24"/>
  <c r="G34" i="24" s="1"/>
  <c r="M34" i="24" s="1"/>
  <c r="F33" i="24"/>
  <c r="G33" i="24" s="1"/>
  <c r="M33" i="24" s="1"/>
  <c r="F62" i="24"/>
  <c r="F60" i="24"/>
  <c r="F58" i="24"/>
  <c r="F56" i="24"/>
  <c r="F54" i="24"/>
  <c r="F52" i="24"/>
  <c r="F50" i="24"/>
  <c r="F48" i="24"/>
  <c r="F32" i="24"/>
  <c r="G32" i="24" s="1"/>
  <c r="M32" i="24" s="1"/>
  <c r="F31" i="24"/>
  <c r="G31" i="24" s="1"/>
  <c r="M31" i="24" s="1"/>
  <c r="F30" i="24"/>
  <c r="G30" i="24" s="1"/>
  <c r="M30" i="24" s="1"/>
  <c r="F29" i="24"/>
  <c r="G29" i="24" s="1"/>
  <c r="M29" i="24" s="1"/>
  <c r="F28" i="24"/>
  <c r="G28" i="24" s="1"/>
  <c r="M28" i="24" s="1"/>
  <c r="F27" i="24"/>
  <c r="G27" i="24" s="1"/>
  <c r="M27" i="24" s="1"/>
  <c r="F26" i="24"/>
  <c r="G26" i="24" s="1"/>
  <c r="M26" i="24" s="1"/>
  <c r="F25" i="24"/>
  <c r="G25" i="24" s="1"/>
  <c r="M25" i="24" s="1"/>
  <c r="F24" i="24"/>
  <c r="G24" i="24" s="1"/>
  <c r="M24" i="24" s="1"/>
  <c r="F23" i="24"/>
  <c r="G23" i="24" s="1"/>
  <c r="M23" i="24" s="1"/>
  <c r="F22" i="24"/>
  <c r="G22" i="24" s="1"/>
  <c r="M22" i="24" s="1"/>
  <c r="F21" i="24"/>
  <c r="G21" i="24" s="1"/>
  <c r="M21" i="24" s="1"/>
  <c r="F20" i="24"/>
  <c r="G20" i="24" s="1"/>
  <c r="M20" i="24" s="1"/>
  <c r="F19" i="24"/>
  <c r="G19" i="24" s="1"/>
  <c r="M19" i="24" s="1"/>
  <c r="F18" i="24"/>
  <c r="G18" i="24" s="1"/>
  <c r="M18" i="24" s="1"/>
  <c r="F17" i="24"/>
  <c r="G17" i="24" s="1"/>
  <c r="M17" i="24" s="1"/>
  <c r="F16" i="24"/>
  <c r="G16" i="24" s="1"/>
  <c r="M16" i="24" s="1"/>
  <c r="F15" i="24"/>
  <c r="G15" i="24" s="1"/>
  <c r="M15" i="24" s="1"/>
  <c r="F14" i="24"/>
  <c r="G14" i="24" s="1"/>
  <c r="M14" i="24" s="1"/>
  <c r="F13" i="24"/>
  <c r="G13" i="24" s="1"/>
  <c r="M13" i="24" s="1"/>
  <c r="F12" i="24"/>
  <c r="G12" i="24" s="1"/>
  <c r="M12" i="24" s="1"/>
  <c r="F11" i="24"/>
  <c r="G11" i="24" s="1"/>
  <c r="M11" i="24" s="1"/>
  <c r="F10" i="24"/>
  <c r="G10" i="24" s="1"/>
  <c r="M10" i="24" s="1"/>
  <c r="F9" i="24"/>
  <c r="G9" i="24" s="1"/>
  <c r="M9" i="24" s="1"/>
  <c r="F8" i="24"/>
  <c r="G8" i="24" s="1"/>
  <c r="M8" i="24" s="1"/>
  <c r="F7" i="24"/>
  <c r="G7" i="24" s="1"/>
  <c r="M7" i="24" s="1"/>
  <c r="F6" i="24"/>
  <c r="G6" i="24" s="1"/>
  <c r="M6" i="24" s="1"/>
  <c r="F5" i="24"/>
  <c r="G5" i="24" s="1"/>
  <c r="M5" i="24" s="1"/>
  <c r="F4" i="24"/>
  <c r="G4" i="24" s="1"/>
  <c r="H28" i="18"/>
  <c r="E64" i="8"/>
  <c r="F64" i="8"/>
  <c r="T35" i="17"/>
  <c r="K64" i="17"/>
  <c r="Q3" i="17"/>
  <c r="I64" i="17"/>
  <c r="U4" i="17"/>
  <c r="H64" i="17"/>
  <c r="J32" i="20" l="1"/>
  <c r="I32" i="9"/>
  <c r="I33" i="10"/>
  <c r="C56" i="10" s="1"/>
  <c r="B56" i="17" s="1"/>
  <c r="B58" i="8"/>
  <c r="B57" i="8"/>
  <c r="G17" i="21"/>
  <c r="H32" i="21" s="1"/>
  <c r="C44" i="21" s="1"/>
  <c r="B17" i="8"/>
  <c r="C17" i="8" s="1"/>
  <c r="I17" i="8" s="1"/>
  <c r="B21" i="8"/>
  <c r="C21" i="8" s="1"/>
  <c r="I21" i="8" s="1"/>
  <c r="B32" i="8"/>
  <c r="B40" i="8"/>
  <c r="B41" i="8"/>
  <c r="B19" i="8"/>
  <c r="C19" i="8" s="1"/>
  <c r="I19" i="8" s="1"/>
  <c r="B48" i="8"/>
  <c r="B33" i="8"/>
  <c r="B6" i="8"/>
  <c r="C6" i="8" s="1"/>
  <c r="I6" i="8" s="1"/>
  <c r="B49" i="8"/>
  <c r="B12" i="8"/>
  <c r="C12" i="8" s="1"/>
  <c r="I12" i="8" s="1"/>
  <c r="B13" i="8"/>
  <c r="C13" i="8" s="1"/>
  <c r="I13" i="8" s="1"/>
  <c r="B31" i="8"/>
  <c r="B39" i="8"/>
  <c r="B47" i="8"/>
  <c r="B55" i="8"/>
  <c r="K19" i="10"/>
  <c r="J19" i="10" s="1"/>
  <c r="J33" i="10" s="1"/>
  <c r="C57" i="10" s="1"/>
  <c r="B15" i="8"/>
  <c r="C15" i="8" s="1"/>
  <c r="I15" i="8" s="1"/>
  <c r="B26" i="8"/>
  <c r="B34" i="8"/>
  <c r="B42" i="8"/>
  <c r="B50" i="8"/>
  <c r="B59" i="8"/>
  <c r="B4" i="8"/>
  <c r="C4" i="8" s="1"/>
  <c r="I4" i="8" s="1"/>
  <c r="B5" i="8"/>
  <c r="C5" i="8" s="1"/>
  <c r="I5" i="8" s="1"/>
  <c r="B27" i="8"/>
  <c r="B35" i="8"/>
  <c r="B43" i="8"/>
  <c r="B51" i="8"/>
  <c r="B62" i="8"/>
  <c r="B8" i="8"/>
  <c r="C8" i="8" s="1"/>
  <c r="I8" i="8" s="1"/>
  <c r="B9" i="8"/>
  <c r="C9" i="8" s="1"/>
  <c r="I9" i="8" s="1"/>
  <c r="B28" i="8"/>
  <c r="B36" i="8"/>
  <c r="B44" i="8"/>
  <c r="B52" i="8"/>
  <c r="B63" i="8"/>
  <c r="B11" i="8"/>
  <c r="C11" i="8" s="1"/>
  <c r="I11" i="8" s="1"/>
  <c r="B16" i="8"/>
  <c r="C16" i="8" s="1"/>
  <c r="I16" i="8" s="1"/>
  <c r="B29" i="8"/>
  <c r="B37" i="8"/>
  <c r="B45" i="8"/>
  <c r="B53" i="8"/>
  <c r="B24" i="8"/>
  <c r="B7" i="8"/>
  <c r="C7" i="8" s="1"/>
  <c r="I7" i="8" s="1"/>
  <c r="B23" i="8"/>
  <c r="C23" i="8" s="1"/>
  <c r="I23" i="8" s="1"/>
  <c r="B30" i="8"/>
  <c r="B38" i="8"/>
  <c r="B46" i="8"/>
  <c r="B54" i="8"/>
  <c r="B10" i="8"/>
  <c r="C10" i="8" s="1"/>
  <c r="I10" i="8" s="1"/>
  <c r="G17" i="20"/>
  <c r="G32" i="20" s="1"/>
  <c r="C49" i="20" s="1"/>
  <c r="B61" i="25" s="1"/>
  <c r="C61" i="25" s="1"/>
  <c r="B61" i="8"/>
  <c r="B25" i="8"/>
  <c r="B18" i="8"/>
  <c r="C18" i="8" s="1"/>
  <c r="I18" i="8" s="1"/>
  <c r="B56" i="8"/>
  <c r="B60" i="8"/>
  <c r="B20" i="8"/>
  <c r="C20" i="8" s="1"/>
  <c r="I20" i="8" s="1"/>
  <c r="B14" i="8"/>
  <c r="C14" i="8" s="1"/>
  <c r="I14" i="8" s="1"/>
  <c r="G32" i="19"/>
  <c r="C50" i="19" s="1"/>
  <c r="B45" i="24" s="1"/>
  <c r="K31" i="20"/>
  <c r="K27" i="20"/>
  <c r="K23" i="20"/>
  <c r="K19" i="20"/>
  <c r="K20" i="20"/>
  <c r="K30" i="20"/>
  <c r="K26" i="20"/>
  <c r="K22" i="20"/>
  <c r="K28" i="20"/>
  <c r="K29" i="20"/>
  <c r="K25" i="20"/>
  <c r="K21" i="20"/>
  <c r="K24" i="20"/>
  <c r="K31" i="19"/>
  <c r="K27" i="19"/>
  <c r="K23" i="19"/>
  <c r="K29" i="10"/>
  <c r="K25" i="10"/>
  <c r="K21" i="10"/>
  <c r="K28" i="19"/>
  <c r="K26" i="10"/>
  <c r="K30" i="19"/>
  <c r="K26" i="19"/>
  <c r="K22" i="19"/>
  <c r="K32" i="10"/>
  <c r="K28" i="10"/>
  <c r="K24" i="10"/>
  <c r="K20" i="10"/>
  <c r="K24" i="19"/>
  <c r="K30" i="10"/>
  <c r="K29" i="19"/>
  <c r="K25" i="19"/>
  <c r="K31" i="10"/>
  <c r="K27" i="10"/>
  <c r="K23" i="10"/>
  <c r="K22" i="10"/>
  <c r="K18" i="20"/>
  <c r="H18" i="20" s="1"/>
  <c r="U35" i="17"/>
  <c r="H32" i="19"/>
  <c r="C51" i="19" s="1"/>
  <c r="D34" i="24" s="1"/>
  <c r="E34" i="24" s="1"/>
  <c r="K34" i="24" s="1"/>
  <c r="G64" i="25"/>
  <c r="M4" i="25"/>
  <c r="M46" i="25" s="1"/>
  <c r="G64" i="24"/>
  <c r="M4" i="24"/>
  <c r="M47" i="24" s="1"/>
  <c r="L3" i="24" l="1"/>
  <c r="L47" i="24" s="1"/>
  <c r="D3" i="8"/>
  <c r="J3" i="8" s="1"/>
  <c r="J25" i="8" s="1"/>
  <c r="F3" i="17"/>
  <c r="R3" i="17" s="1"/>
  <c r="R35" i="17" s="1"/>
  <c r="B6" i="17"/>
  <c r="C6" i="17" s="1"/>
  <c r="P6" i="17" s="1"/>
  <c r="B11" i="17"/>
  <c r="C11" i="17" s="1"/>
  <c r="P11" i="17" s="1"/>
  <c r="B59" i="17"/>
  <c r="B58" i="17"/>
  <c r="B61" i="17"/>
  <c r="B63" i="17"/>
  <c r="B37" i="17"/>
  <c r="B62" i="17"/>
  <c r="B54" i="17"/>
  <c r="B50" i="17"/>
  <c r="B29" i="17"/>
  <c r="B39" i="17"/>
  <c r="B16" i="17"/>
  <c r="C16" i="17" s="1"/>
  <c r="P16" i="17" s="1"/>
  <c r="B14" i="17"/>
  <c r="C14" i="17" s="1"/>
  <c r="P14" i="17" s="1"/>
  <c r="B48" i="17"/>
  <c r="B46" i="17"/>
  <c r="B35" i="17"/>
  <c r="B44" i="17"/>
  <c r="B36" i="17"/>
  <c r="B7" i="17"/>
  <c r="C7" i="17" s="1"/>
  <c r="P7" i="17" s="1"/>
  <c r="B47" i="17"/>
  <c r="B40" i="17"/>
  <c r="B38" i="17"/>
  <c r="B19" i="17"/>
  <c r="C19" i="17" s="1"/>
  <c r="P19" i="17" s="1"/>
  <c r="B27" i="17"/>
  <c r="B49" i="17"/>
  <c r="B8" i="17"/>
  <c r="C8" i="17" s="1"/>
  <c r="P8" i="17" s="1"/>
  <c r="B18" i="17"/>
  <c r="C18" i="17" s="1"/>
  <c r="P18" i="17" s="1"/>
  <c r="B51" i="17"/>
  <c r="B52" i="17"/>
  <c r="B53" i="17"/>
  <c r="B26" i="17"/>
  <c r="B32" i="17"/>
  <c r="B4" i="17"/>
  <c r="C4" i="17" s="1"/>
  <c r="P4" i="17" s="1"/>
  <c r="B31" i="17"/>
  <c r="B57" i="17"/>
  <c r="B41" i="17"/>
  <c r="B34" i="17"/>
  <c r="B12" i="17"/>
  <c r="C12" i="17" s="1"/>
  <c r="P12" i="17" s="1"/>
  <c r="B33" i="17"/>
  <c r="B55" i="17"/>
  <c r="B25" i="17"/>
  <c r="B23" i="17"/>
  <c r="C23" i="17" s="1"/>
  <c r="P23" i="17" s="1"/>
  <c r="B45" i="17"/>
  <c r="B43" i="17"/>
  <c r="B30" i="17"/>
  <c r="B20" i="17"/>
  <c r="C20" i="17" s="1"/>
  <c r="P20" i="17" s="1"/>
  <c r="B21" i="17"/>
  <c r="C21" i="17" s="1"/>
  <c r="P21" i="17" s="1"/>
  <c r="B17" i="17"/>
  <c r="C17" i="17" s="1"/>
  <c r="P17" i="17" s="1"/>
  <c r="B15" i="17"/>
  <c r="C15" i="17" s="1"/>
  <c r="P15" i="17" s="1"/>
  <c r="B60" i="17"/>
  <c r="B42" i="17"/>
  <c r="B22" i="17"/>
  <c r="C22" i="17" s="1"/>
  <c r="P22" i="17" s="1"/>
  <c r="B9" i="17"/>
  <c r="C9" i="17" s="1"/>
  <c r="P9" i="17" s="1"/>
  <c r="B28" i="17"/>
  <c r="B7" i="26"/>
  <c r="B10" i="17"/>
  <c r="C10" i="17" s="1"/>
  <c r="P10" i="17" s="1"/>
  <c r="B13" i="17"/>
  <c r="C13" i="17" s="1"/>
  <c r="P13" i="17" s="1"/>
  <c r="B24" i="17"/>
  <c r="B5" i="17"/>
  <c r="C5" i="17" s="1"/>
  <c r="P5" i="17" s="1"/>
  <c r="G32" i="21"/>
  <c r="B47" i="25"/>
  <c r="C47" i="25" s="1"/>
  <c r="B63" i="24"/>
  <c r="B30" i="25"/>
  <c r="C30" i="25" s="1"/>
  <c r="J30" i="25" s="1"/>
  <c r="B55" i="25"/>
  <c r="C55" i="25" s="1"/>
  <c r="B63" i="25"/>
  <c r="C63" i="25" s="1"/>
  <c r="B6" i="25"/>
  <c r="C6" i="25" s="1"/>
  <c r="J6" i="25" s="1"/>
  <c r="B9" i="25"/>
  <c r="C9" i="25" s="1"/>
  <c r="J9" i="25" s="1"/>
  <c r="B23" i="25"/>
  <c r="C23" i="25" s="1"/>
  <c r="J23" i="25" s="1"/>
  <c r="B5" i="24"/>
  <c r="C5" i="24" s="1"/>
  <c r="J5" i="24" s="1"/>
  <c r="B16" i="24"/>
  <c r="C16" i="24" s="1"/>
  <c r="J16" i="24" s="1"/>
  <c r="B39" i="25"/>
  <c r="C39" i="25" s="1"/>
  <c r="J39" i="25" s="1"/>
  <c r="B35" i="24"/>
  <c r="C35" i="24" s="1"/>
  <c r="J35" i="24" s="1"/>
  <c r="B36" i="24"/>
  <c r="C36" i="24" s="1"/>
  <c r="J36" i="24" s="1"/>
  <c r="B51" i="24"/>
  <c r="B4" i="25"/>
  <c r="C4" i="25" s="1"/>
  <c r="J4" i="25" s="1"/>
  <c r="B7" i="25"/>
  <c r="C7" i="25" s="1"/>
  <c r="J7" i="25" s="1"/>
  <c r="B21" i="25"/>
  <c r="C21" i="25" s="1"/>
  <c r="J21" i="25" s="1"/>
  <c r="B37" i="25"/>
  <c r="C37" i="25" s="1"/>
  <c r="J37" i="25" s="1"/>
  <c r="B28" i="25"/>
  <c r="C28" i="25" s="1"/>
  <c r="J28" i="25" s="1"/>
  <c r="B46" i="25"/>
  <c r="C46" i="25" s="1"/>
  <c r="B54" i="25"/>
  <c r="C54" i="25" s="1"/>
  <c r="B62" i="25"/>
  <c r="C62" i="25" s="1"/>
  <c r="B37" i="24"/>
  <c r="C37" i="24" s="1"/>
  <c r="J37" i="24" s="1"/>
  <c r="B29" i="24"/>
  <c r="C29" i="24" s="1"/>
  <c r="J29" i="24" s="1"/>
  <c r="B22" i="24"/>
  <c r="C22" i="24" s="1"/>
  <c r="J22" i="24" s="1"/>
  <c r="B10" i="24"/>
  <c r="C10" i="24" s="1"/>
  <c r="J10" i="24" s="1"/>
  <c r="B8" i="25"/>
  <c r="C8" i="25" s="1"/>
  <c r="J8" i="25" s="1"/>
  <c r="B11" i="25"/>
  <c r="C11" i="25" s="1"/>
  <c r="J11" i="25" s="1"/>
  <c r="B25" i="25"/>
  <c r="C25" i="25" s="1"/>
  <c r="J25" i="25" s="1"/>
  <c r="B41" i="25"/>
  <c r="C41" i="25" s="1"/>
  <c r="J41" i="25" s="1"/>
  <c r="B32" i="25"/>
  <c r="C32" i="25" s="1"/>
  <c r="J32" i="25" s="1"/>
  <c r="B48" i="25"/>
  <c r="C48" i="25" s="1"/>
  <c r="B56" i="25"/>
  <c r="C56" i="25" s="1"/>
  <c r="B42" i="25"/>
  <c r="C42" i="25" s="1"/>
  <c r="J42" i="25" s="1"/>
  <c r="B10" i="25"/>
  <c r="C10" i="25" s="1"/>
  <c r="J10" i="25" s="1"/>
  <c r="B13" i="25"/>
  <c r="C13" i="25" s="1"/>
  <c r="J13" i="25" s="1"/>
  <c r="B27" i="25"/>
  <c r="C27" i="25" s="1"/>
  <c r="J27" i="25" s="1"/>
  <c r="B18" i="25"/>
  <c r="C18" i="25" s="1"/>
  <c r="J18" i="25" s="1"/>
  <c r="B34" i="25"/>
  <c r="C34" i="25" s="1"/>
  <c r="J34" i="25" s="1"/>
  <c r="B49" i="25"/>
  <c r="C49" i="25" s="1"/>
  <c r="B57" i="25"/>
  <c r="C57" i="25" s="1"/>
  <c r="B44" i="25"/>
  <c r="C44" i="25" s="1"/>
  <c r="J44" i="25" s="1"/>
  <c r="B46" i="24"/>
  <c r="B25" i="24"/>
  <c r="C25" i="24" s="1"/>
  <c r="J25" i="24" s="1"/>
  <c r="B15" i="25"/>
  <c r="C15" i="25" s="1"/>
  <c r="J15" i="25" s="1"/>
  <c r="B4" i="24"/>
  <c r="C4" i="24" s="1"/>
  <c r="J4" i="24" s="1"/>
  <c r="B12" i="24"/>
  <c r="C12" i="24" s="1"/>
  <c r="J12" i="24" s="1"/>
  <c r="B12" i="25"/>
  <c r="C12" i="25" s="1"/>
  <c r="J12" i="25" s="1"/>
  <c r="B20" i="25"/>
  <c r="C20" i="25" s="1"/>
  <c r="J20" i="25" s="1"/>
  <c r="B50" i="25"/>
  <c r="C50" i="25" s="1"/>
  <c r="B58" i="25"/>
  <c r="C58" i="25" s="1"/>
  <c r="B15" i="24"/>
  <c r="C15" i="24" s="1"/>
  <c r="J15" i="24" s="1"/>
  <c r="B14" i="25"/>
  <c r="C14" i="25" s="1"/>
  <c r="J14" i="25" s="1"/>
  <c r="B45" i="25"/>
  <c r="C45" i="25" s="1"/>
  <c r="B31" i="25"/>
  <c r="C31" i="25" s="1"/>
  <c r="J31" i="25" s="1"/>
  <c r="B22" i="25"/>
  <c r="C22" i="25" s="1"/>
  <c r="J22" i="25" s="1"/>
  <c r="B38" i="25"/>
  <c r="C38" i="25" s="1"/>
  <c r="J38" i="25" s="1"/>
  <c r="B51" i="25"/>
  <c r="C51" i="25" s="1"/>
  <c r="B59" i="25"/>
  <c r="C59" i="25" s="1"/>
  <c r="B41" i="24"/>
  <c r="C41" i="24" s="1"/>
  <c r="J41" i="24" s="1"/>
  <c r="B36" i="25"/>
  <c r="C36" i="25" s="1"/>
  <c r="J36" i="25" s="1"/>
  <c r="B39" i="24"/>
  <c r="C39" i="24" s="1"/>
  <c r="J39" i="24" s="1"/>
  <c r="B30" i="24"/>
  <c r="C30" i="24" s="1"/>
  <c r="J30" i="24" s="1"/>
  <c r="B60" i="24"/>
  <c r="B16" i="25"/>
  <c r="C16" i="25" s="1"/>
  <c r="J16" i="25" s="1"/>
  <c r="B17" i="25"/>
  <c r="C17" i="25" s="1"/>
  <c r="J17" i="25" s="1"/>
  <c r="B33" i="25"/>
  <c r="C33" i="25" s="1"/>
  <c r="J33" i="25" s="1"/>
  <c r="B24" i="25"/>
  <c r="C24" i="25" s="1"/>
  <c r="J24" i="25" s="1"/>
  <c r="B40" i="25"/>
  <c r="C40" i="25" s="1"/>
  <c r="J40" i="25" s="1"/>
  <c r="B52" i="25"/>
  <c r="C52" i="25" s="1"/>
  <c r="B60" i="25"/>
  <c r="C60" i="25" s="1"/>
  <c r="B20" i="24"/>
  <c r="C20" i="24" s="1"/>
  <c r="J20" i="24" s="1"/>
  <c r="B33" i="24"/>
  <c r="C33" i="24" s="1"/>
  <c r="J33" i="24" s="1"/>
  <c r="B58" i="24"/>
  <c r="B29" i="25"/>
  <c r="C29" i="25" s="1"/>
  <c r="J29" i="25" s="1"/>
  <c r="B44" i="24"/>
  <c r="B8" i="24"/>
  <c r="C8" i="24" s="1"/>
  <c r="J8" i="24" s="1"/>
  <c r="B19" i="24"/>
  <c r="C19" i="24" s="1"/>
  <c r="J19" i="24" s="1"/>
  <c r="B34" i="24"/>
  <c r="C34" i="24" s="1"/>
  <c r="J34" i="24" s="1"/>
  <c r="B62" i="24"/>
  <c r="B5" i="25"/>
  <c r="C5" i="25" s="1"/>
  <c r="J5" i="25" s="1"/>
  <c r="B19" i="25"/>
  <c r="C19" i="25" s="1"/>
  <c r="J19" i="25" s="1"/>
  <c r="B35" i="25"/>
  <c r="C35" i="25" s="1"/>
  <c r="J35" i="25" s="1"/>
  <c r="B26" i="25"/>
  <c r="C26" i="25" s="1"/>
  <c r="J26" i="25" s="1"/>
  <c r="B43" i="25"/>
  <c r="C43" i="25" s="1"/>
  <c r="J43" i="25" s="1"/>
  <c r="B53" i="25"/>
  <c r="C53" i="25" s="1"/>
  <c r="K33" i="10"/>
  <c r="I25" i="8"/>
  <c r="C64" i="8"/>
  <c r="D51" i="9" s="1"/>
  <c r="B31" i="24"/>
  <c r="C31" i="24" s="1"/>
  <c r="J31" i="24" s="1"/>
  <c r="B7" i="24"/>
  <c r="C7" i="24" s="1"/>
  <c r="J7" i="24" s="1"/>
  <c r="B11" i="24"/>
  <c r="C11" i="24" s="1"/>
  <c r="J11" i="24" s="1"/>
  <c r="B42" i="24"/>
  <c r="C42" i="24" s="1"/>
  <c r="J42" i="24" s="1"/>
  <c r="B38" i="24"/>
  <c r="C38" i="24" s="1"/>
  <c r="J38" i="24" s="1"/>
  <c r="B40" i="24"/>
  <c r="C40" i="24" s="1"/>
  <c r="J40" i="24" s="1"/>
  <c r="B47" i="24"/>
  <c r="B32" i="24"/>
  <c r="C32" i="24" s="1"/>
  <c r="J32" i="24" s="1"/>
  <c r="B28" i="24"/>
  <c r="C28" i="24" s="1"/>
  <c r="J28" i="24" s="1"/>
  <c r="B59" i="24"/>
  <c r="B6" i="24"/>
  <c r="C6" i="24" s="1"/>
  <c r="J6" i="24" s="1"/>
  <c r="B56" i="24"/>
  <c r="B52" i="24"/>
  <c r="B49" i="24"/>
  <c r="B53" i="24"/>
  <c r="B50" i="24"/>
  <c r="B54" i="24"/>
  <c r="B43" i="24"/>
  <c r="C43" i="24" s="1"/>
  <c r="J43" i="24" s="1"/>
  <c r="B23" i="24"/>
  <c r="C23" i="24" s="1"/>
  <c r="J23" i="24" s="1"/>
  <c r="B27" i="24"/>
  <c r="C27" i="24" s="1"/>
  <c r="J27" i="24" s="1"/>
  <c r="B21" i="24"/>
  <c r="C21" i="24" s="1"/>
  <c r="J21" i="24" s="1"/>
  <c r="B13" i="24"/>
  <c r="C13" i="24" s="1"/>
  <c r="J13" i="24" s="1"/>
  <c r="B9" i="24"/>
  <c r="C9" i="24" s="1"/>
  <c r="J9" i="24" s="1"/>
  <c r="B17" i="24"/>
  <c r="C17" i="24" s="1"/>
  <c r="J17" i="24" s="1"/>
  <c r="B24" i="24"/>
  <c r="C24" i="24" s="1"/>
  <c r="J24" i="24" s="1"/>
  <c r="B14" i="24"/>
  <c r="C14" i="24" s="1"/>
  <c r="J14" i="24" s="1"/>
  <c r="B26" i="24"/>
  <c r="C26" i="24" s="1"/>
  <c r="J26" i="24" s="1"/>
  <c r="B61" i="24"/>
  <c r="B18" i="24"/>
  <c r="C18" i="24" s="1"/>
  <c r="J18" i="24" s="1"/>
  <c r="B55" i="24"/>
  <c r="B48" i="24"/>
  <c r="B57" i="24"/>
  <c r="D14" i="24"/>
  <c r="E14" i="24" s="1"/>
  <c r="K14" i="24" s="1"/>
  <c r="D28" i="24"/>
  <c r="E28" i="24" s="1"/>
  <c r="K28" i="24" s="1"/>
  <c r="D47" i="24"/>
  <c r="D63" i="17"/>
  <c r="D61" i="17"/>
  <c r="D59" i="17"/>
  <c r="D57" i="17"/>
  <c r="D55" i="17"/>
  <c r="D53" i="17"/>
  <c r="D51" i="17"/>
  <c r="D49" i="17"/>
  <c r="D47" i="17"/>
  <c r="D45" i="17"/>
  <c r="D43" i="17"/>
  <c r="D41" i="17"/>
  <c r="D39" i="17"/>
  <c r="D37" i="17"/>
  <c r="D34" i="17"/>
  <c r="D32" i="17"/>
  <c r="D30" i="17"/>
  <c r="D28" i="17"/>
  <c r="D26" i="17"/>
  <c r="D24" i="17"/>
  <c r="D22" i="17"/>
  <c r="E22" i="17" s="1"/>
  <c r="Q22" i="17" s="1"/>
  <c r="D20" i="17"/>
  <c r="E20" i="17" s="1"/>
  <c r="Q20" i="17" s="1"/>
  <c r="D18" i="17"/>
  <c r="E18" i="17" s="1"/>
  <c r="Q18" i="17" s="1"/>
  <c r="D16" i="17"/>
  <c r="E16" i="17" s="1"/>
  <c r="Q16" i="17" s="1"/>
  <c r="D14" i="17"/>
  <c r="E14" i="17" s="1"/>
  <c r="Q14" i="17" s="1"/>
  <c r="D62" i="17"/>
  <c r="D60" i="17"/>
  <c r="D58" i="17"/>
  <c r="D56" i="17"/>
  <c r="D54" i="17"/>
  <c r="D52" i="17"/>
  <c r="D50" i="17"/>
  <c r="D48" i="17"/>
  <c r="D46" i="17"/>
  <c r="D44" i="17"/>
  <c r="D42" i="17"/>
  <c r="D40" i="17"/>
  <c r="D38" i="17"/>
  <c r="D36" i="17"/>
  <c r="D35" i="17"/>
  <c r="D33" i="17"/>
  <c r="D31" i="17"/>
  <c r="D29" i="17"/>
  <c r="D27" i="17"/>
  <c r="D25" i="17"/>
  <c r="D23" i="17"/>
  <c r="E23" i="17" s="1"/>
  <c r="Q23" i="17" s="1"/>
  <c r="D21" i="17"/>
  <c r="E21" i="17" s="1"/>
  <c r="Q21" i="17" s="1"/>
  <c r="D19" i="17"/>
  <c r="E19" i="17" s="1"/>
  <c r="Q19" i="17" s="1"/>
  <c r="D17" i="17"/>
  <c r="E17" i="17" s="1"/>
  <c r="Q17" i="17" s="1"/>
  <c r="D15" i="17"/>
  <c r="E15" i="17" s="1"/>
  <c r="Q15" i="17" s="1"/>
  <c r="D13" i="17"/>
  <c r="E13" i="17" s="1"/>
  <c r="Q13" i="17" s="1"/>
  <c r="D12" i="17"/>
  <c r="E12" i="17" s="1"/>
  <c r="Q12" i="17" s="1"/>
  <c r="D10" i="17"/>
  <c r="E10" i="17" s="1"/>
  <c r="Q10" i="17" s="1"/>
  <c r="D8" i="17"/>
  <c r="E8" i="17" s="1"/>
  <c r="Q8" i="17" s="1"/>
  <c r="D6" i="17"/>
  <c r="E6" i="17" s="1"/>
  <c r="Q6" i="17" s="1"/>
  <c r="D4" i="17"/>
  <c r="E4" i="17" s="1"/>
  <c r="D11" i="17"/>
  <c r="E11" i="17" s="1"/>
  <c r="Q11" i="17" s="1"/>
  <c r="D9" i="17"/>
  <c r="E9" i="17" s="1"/>
  <c r="Q9" i="17" s="1"/>
  <c r="D7" i="17"/>
  <c r="E7" i="17" s="1"/>
  <c r="Q7" i="17" s="1"/>
  <c r="D5" i="17"/>
  <c r="E5" i="17" s="1"/>
  <c r="Q5" i="17" s="1"/>
  <c r="D22" i="24"/>
  <c r="E22" i="24" s="1"/>
  <c r="K22" i="24" s="1"/>
  <c r="D44" i="24"/>
  <c r="D42" i="24"/>
  <c r="E42" i="24" s="1"/>
  <c r="K42" i="24" s="1"/>
  <c r="D26" i="24"/>
  <c r="E26" i="24" s="1"/>
  <c r="K26" i="24" s="1"/>
  <c r="D52" i="24"/>
  <c r="D23" i="24"/>
  <c r="E23" i="24" s="1"/>
  <c r="K23" i="24" s="1"/>
  <c r="D20" i="24"/>
  <c r="E20" i="24" s="1"/>
  <c r="K20" i="24" s="1"/>
  <c r="D10" i="24"/>
  <c r="E10" i="24" s="1"/>
  <c r="K10" i="24" s="1"/>
  <c r="D63" i="24"/>
  <c r="D59" i="24"/>
  <c r="D55" i="24"/>
  <c r="D51" i="24"/>
  <c r="D45" i="24"/>
  <c r="D37" i="24"/>
  <c r="E37" i="24" s="1"/>
  <c r="K37" i="24" s="1"/>
  <c r="D29" i="24"/>
  <c r="E29" i="24" s="1"/>
  <c r="K29" i="24" s="1"/>
  <c r="D21" i="24"/>
  <c r="E21" i="24" s="1"/>
  <c r="K21" i="24" s="1"/>
  <c r="D13" i="24"/>
  <c r="E13" i="24" s="1"/>
  <c r="K13" i="24" s="1"/>
  <c r="D5" i="24"/>
  <c r="E5" i="24" s="1"/>
  <c r="K5" i="24" s="1"/>
  <c r="D4" i="24"/>
  <c r="E4" i="24" s="1"/>
  <c r="K4" i="24" s="1"/>
  <c r="D48" i="24"/>
  <c r="D7" i="24"/>
  <c r="E7" i="24" s="1"/>
  <c r="K7" i="24" s="1"/>
  <c r="D18" i="24"/>
  <c r="E18" i="24" s="1"/>
  <c r="K18" i="24" s="1"/>
  <c r="D8" i="24"/>
  <c r="E8" i="24" s="1"/>
  <c r="K8" i="24" s="1"/>
  <c r="D62" i="24"/>
  <c r="D58" i="24"/>
  <c r="D54" i="24"/>
  <c r="D50" i="24"/>
  <c r="D43" i="24"/>
  <c r="E43" i="24" s="1"/>
  <c r="K43" i="24" s="1"/>
  <c r="D35" i="24"/>
  <c r="E35" i="24" s="1"/>
  <c r="K35" i="24" s="1"/>
  <c r="D27" i="24"/>
  <c r="E27" i="24" s="1"/>
  <c r="K27" i="24" s="1"/>
  <c r="D19" i="24"/>
  <c r="E19" i="24" s="1"/>
  <c r="K19" i="24" s="1"/>
  <c r="D11" i="24"/>
  <c r="E11" i="24" s="1"/>
  <c r="K11" i="24" s="1"/>
  <c r="D60" i="24"/>
  <c r="D39" i="24"/>
  <c r="E39" i="24" s="1"/>
  <c r="K39" i="24" s="1"/>
  <c r="D15" i="24"/>
  <c r="E15" i="24" s="1"/>
  <c r="K15" i="24" s="1"/>
  <c r="D32" i="24"/>
  <c r="E32" i="24" s="1"/>
  <c r="K32" i="24" s="1"/>
  <c r="D16" i="24"/>
  <c r="E16" i="24" s="1"/>
  <c r="K16" i="24" s="1"/>
  <c r="D6" i="24"/>
  <c r="E6" i="24" s="1"/>
  <c r="K6" i="24" s="1"/>
  <c r="D61" i="24"/>
  <c r="D57" i="24"/>
  <c r="D53" i="24"/>
  <c r="D49" i="24"/>
  <c r="D41" i="24"/>
  <c r="E41" i="24" s="1"/>
  <c r="K41" i="24" s="1"/>
  <c r="D33" i="24"/>
  <c r="E33" i="24" s="1"/>
  <c r="K33" i="24" s="1"/>
  <c r="D25" i="24"/>
  <c r="E25" i="24" s="1"/>
  <c r="K25" i="24" s="1"/>
  <c r="D17" i="24"/>
  <c r="E17" i="24" s="1"/>
  <c r="K17" i="24" s="1"/>
  <c r="D9" i="24"/>
  <c r="E9" i="24" s="1"/>
  <c r="K9" i="24" s="1"/>
  <c r="D12" i="24"/>
  <c r="E12" i="24" s="1"/>
  <c r="K12" i="24" s="1"/>
  <c r="D56" i="24"/>
  <c r="D31" i="24"/>
  <c r="E31" i="24" s="1"/>
  <c r="K31" i="24" s="1"/>
  <c r="H32" i="20"/>
  <c r="C50" i="20" s="1"/>
  <c r="K32" i="20"/>
  <c r="D38" i="24"/>
  <c r="E38" i="24" s="1"/>
  <c r="K38" i="24" s="1"/>
  <c r="D46" i="24"/>
  <c r="D40" i="24"/>
  <c r="E40" i="24" s="1"/>
  <c r="K40" i="24" s="1"/>
  <c r="D30" i="24"/>
  <c r="E30" i="24" s="1"/>
  <c r="K30" i="24" s="1"/>
  <c r="D36" i="24"/>
  <c r="E36" i="24" s="1"/>
  <c r="K36" i="24" s="1"/>
  <c r="D24" i="24"/>
  <c r="E24" i="24" s="1"/>
  <c r="K24" i="24" s="1"/>
  <c r="B62" i="14"/>
  <c r="C62" i="14" s="1"/>
  <c r="B60" i="14"/>
  <c r="C60" i="14" s="1"/>
  <c r="B58" i="14"/>
  <c r="C58" i="14" s="1"/>
  <c r="B56" i="14"/>
  <c r="C56" i="14" s="1"/>
  <c r="B54" i="14"/>
  <c r="C54" i="14" s="1"/>
  <c r="B52" i="14"/>
  <c r="C52" i="14" s="1"/>
  <c r="B50" i="14"/>
  <c r="C50" i="14" s="1"/>
  <c r="B48" i="14"/>
  <c r="C48" i="14" s="1"/>
  <c r="B46" i="14"/>
  <c r="C46" i="14" s="1"/>
  <c r="B44" i="14"/>
  <c r="C44" i="14" s="1"/>
  <c r="B42" i="14"/>
  <c r="C42" i="14" s="1"/>
  <c r="B40" i="14"/>
  <c r="C40" i="14" s="1"/>
  <c r="B38" i="14"/>
  <c r="C38" i="14" s="1"/>
  <c r="B36" i="14"/>
  <c r="C36" i="14" s="1"/>
  <c r="B34" i="14"/>
  <c r="C34" i="14" s="1"/>
  <c r="B32" i="14"/>
  <c r="C32" i="14" s="1"/>
  <c r="B30" i="14"/>
  <c r="C30" i="14" s="1"/>
  <c r="B28" i="14"/>
  <c r="C28" i="14" s="1"/>
  <c r="B26" i="14"/>
  <c r="C26" i="14" s="1"/>
  <c r="B24" i="14"/>
  <c r="C24" i="14" s="1"/>
  <c r="B22" i="14"/>
  <c r="C22" i="14" s="1"/>
  <c r="B20" i="14"/>
  <c r="C20" i="14" s="1"/>
  <c r="B18" i="14"/>
  <c r="C18" i="14" s="1"/>
  <c r="B16" i="14"/>
  <c r="C16" i="14" s="1"/>
  <c r="B14" i="14"/>
  <c r="C14" i="14" s="1"/>
  <c r="B12" i="14"/>
  <c r="C12" i="14" s="1"/>
  <c r="B10" i="14"/>
  <c r="C10" i="14" s="1"/>
  <c r="B8" i="14"/>
  <c r="C8" i="14" s="1"/>
  <c r="B6" i="14"/>
  <c r="C6" i="14" s="1"/>
  <c r="B4" i="14"/>
  <c r="C4" i="14" s="1"/>
  <c r="B63" i="14"/>
  <c r="C63" i="14" s="1"/>
  <c r="B61" i="14"/>
  <c r="C61" i="14" s="1"/>
  <c r="B59" i="14"/>
  <c r="C59" i="14" s="1"/>
  <c r="B57" i="14"/>
  <c r="C57" i="14" s="1"/>
  <c r="B55" i="14"/>
  <c r="C55" i="14" s="1"/>
  <c r="B53" i="14"/>
  <c r="C53" i="14" s="1"/>
  <c r="B51" i="14"/>
  <c r="C51" i="14" s="1"/>
  <c r="B49" i="14"/>
  <c r="C49" i="14" s="1"/>
  <c r="B47" i="14"/>
  <c r="C47" i="14" s="1"/>
  <c r="B45" i="14"/>
  <c r="C45" i="14" s="1"/>
  <c r="B43" i="14"/>
  <c r="C43" i="14" s="1"/>
  <c r="B41" i="14"/>
  <c r="C41" i="14" s="1"/>
  <c r="B39" i="14"/>
  <c r="C39" i="14" s="1"/>
  <c r="B37" i="14"/>
  <c r="C37" i="14" s="1"/>
  <c r="B35" i="14"/>
  <c r="C35" i="14" s="1"/>
  <c r="B33" i="14"/>
  <c r="C33" i="14" s="1"/>
  <c r="B31" i="14"/>
  <c r="C31" i="14" s="1"/>
  <c r="B29" i="14"/>
  <c r="C29" i="14" s="1"/>
  <c r="B27" i="14"/>
  <c r="C27" i="14" s="1"/>
  <c r="B25" i="14"/>
  <c r="C25" i="14" s="1"/>
  <c r="B23" i="14"/>
  <c r="C23" i="14" s="1"/>
  <c r="B21" i="14"/>
  <c r="C21" i="14" s="1"/>
  <c r="B19" i="14"/>
  <c r="C19" i="14" s="1"/>
  <c r="B17" i="14"/>
  <c r="C17" i="14" s="1"/>
  <c r="B15" i="14"/>
  <c r="C15" i="14" s="1"/>
  <c r="B13" i="14"/>
  <c r="C13" i="14" s="1"/>
  <c r="B11" i="14"/>
  <c r="C11" i="14" s="1"/>
  <c r="B9" i="14"/>
  <c r="C9" i="14" s="1"/>
  <c r="B7" i="14"/>
  <c r="C7" i="14" s="1"/>
  <c r="B5" i="14"/>
  <c r="C5" i="14" s="1"/>
  <c r="C7" i="26" l="1"/>
  <c r="B6" i="26"/>
  <c r="C6" i="26"/>
  <c r="C64" i="17"/>
  <c r="D56" i="10" s="1"/>
  <c r="P35" i="17"/>
  <c r="C4" i="26"/>
  <c r="C64" i="25"/>
  <c r="D49" i="20" s="1"/>
  <c r="J46" i="25"/>
  <c r="B4" i="26"/>
  <c r="J47" i="24"/>
  <c r="C64" i="24"/>
  <c r="D50" i="19" s="1"/>
  <c r="K47" i="24"/>
  <c r="E64" i="24"/>
  <c r="D51" i="19" s="1"/>
  <c r="Q4" i="17"/>
  <c r="Q35" i="17" s="1"/>
  <c r="E64" i="17"/>
  <c r="D57" i="10" s="1"/>
  <c r="C64" i="14"/>
  <c r="D44" i="21" s="1"/>
  <c r="C47" i="21" s="1"/>
  <c r="D63" i="25"/>
  <c r="E63" i="25" s="1"/>
  <c r="D62" i="25"/>
  <c r="E62" i="25" s="1"/>
  <c r="D61" i="25"/>
  <c r="E61" i="25" s="1"/>
  <c r="D60" i="25"/>
  <c r="E60" i="25" s="1"/>
  <c r="D59" i="25"/>
  <c r="E59" i="25" s="1"/>
  <c r="D58" i="25"/>
  <c r="E58" i="25" s="1"/>
  <c r="D57" i="25"/>
  <c r="E57" i="25" s="1"/>
  <c r="D56" i="25"/>
  <c r="E56" i="25" s="1"/>
  <c r="D55" i="25"/>
  <c r="E55" i="25" s="1"/>
  <c r="D54" i="25"/>
  <c r="E54" i="25" s="1"/>
  <c r="D53" i="25"/>
  <c r="E53" i="25" s="1"/>
  <c r="D52" i="25"/>
  <c r="E52" i="25" s="1"/>
  <c r="D51" i="25"/>
  <c r="E51" i="25" s="1"/>
  <c r="D50" i="25"/>
  <c r="E50" i="25" s="1"/>
  <c r="D49" i="25"/>
  <c r="E49" i="25" s="1"/>
  <c r="D48" i="25"/>
  <c r="E48" i="25" s="1"/>
  <c r="D47" i="25"/>
  <c r="E47" i="25" s="1"/>
  <c r="D46" i="25"/>
  <c r="E46" i="25" s="1"/>
  <c r="D45" i="25"/>
  <c r="E45" i="25" s="1"/>
  <c r="D43" i="25"/>
  <c r="E43" i="25" s="1"/>
  <c r="K43" i="25" s="1"/>
  <c r="D41" i="25"/>
  <c r="E41" i="25" s="1"/>
  <c r="K41" i="25" s="1"/>
  <c r="D44" i="25"/>
  <c r="E44" i="25" s="1"/>
  <c r="K44" i="25" s="1"/>
  <c r="D39" i="25"/>
  <c r="E39" i="25" s="1"/>
  <c r="K39" i="25" s="1"/>
  <c r="D37" i="25"/>
  <c r="E37" i="25" s="1"/>
  <c r="K37" i="25" s="1"/>
  <c r="D35" i="25"/>
  <c r="E35" i="25" s="1"/>
  <c r="K35" i="25" s="1"/>
  <c r="D33" i="25"/>
  <c r="E33" i="25" s="1"/>
  <c r="K33" i="25" s="1"/>
  <c r="D31" i="25"/>
  <c r="E31" i="25" s="1"/>
  <c r="K31" i="25" s="1"/>
  <c r="D29" i="25"/>
  <c r="E29" i="25" s="1"/>
  <c r="K29" i="25" s="1"/>
  <c r="D27" i="25"/>
  <c r="E27" i="25" s="1"/>
  <c r="K27" i="25" s="1"/>
  <c r="D25" i="25"/>
  <c r="E25" i="25" s="1"/>
  <c r="K25" i="25" s="1"/>
  <c r="D23" i="25"/>
  <c r="E23" i="25" s="1"/>
  <c r="K23" i="25" s="1"/>
  <c r="D21" i="25"/>
  <c r="E21" i="25" s="1"/>
  <c r="K21" i="25" s="1"/>
  <c r="D19" i="25"/>
  <c r="E19" i="25" s="1"/>
  <c r="K19" i="25" s="1"/>
  <c r="D17" i="25"/>
  <c r="E17" i="25" s="1"/>
  <c r="K17" i="25" s="1"/>
  <c r="D42" i="25"/>
  <c r="E42" i="25" s="1"/>
  <c r="K42" i="25" s="1"/>
  <c r="D40" i="25"/>
  <c r="E40" i="25" s="1"/>
  <c r="K40" i="25" s="1"/>
  <c r="D38" i="25"/>
  <c r="E38" i="25" s="1"/>
  <c r="K38" i="25" s="1"/>
  <c r="D36" i="25"/>
  <c r="E36" i="25" s="1"/>
  <c r="K36" i="25" s="1"/>
  <c r="D34" i="25"/>
  <c r="E34" i="25" s="1"/>
  <c r="K34" i="25" s="1"/>
  <c r="D32" i="25"/>
  <c r="E32" i="25" s="1"/>
  <c r="K32" i="25" s="1"/>
  <c r="D30" i="25"/>
  <c r="E30" i="25" s="1"/>
  <c r="K30" i="25" s="1"/>
  <c r="D28" i="25"/>
  <c r="E28" i="25" s="1"/>
  <c r="K28" i="25" s="1"/>
  <c r="D26" i="25"/>
  <c r="E26" i="25" s="1"/>
  <c r="K26" i="25" s="1"/>
  <c r="D24" i="25"/>
  <c r="E24" i="25" s="1"/>
  <c r="K24" i="25" s="1"/>
  <c r="D22" i="25"/>
  <c r="E22" i="25" s="1"/>
  <c r="K22" i="25" s="1"/>
  <c r="D20" i="25"/>
  <c r="E20" i="25" s="1"/>
  <c r="K20" i="25" s="1"/>
  <c r="D18" i="25"/>
  <c r="E18" i="25" s="1"/>
  <c r="K18" i="25" s="1"/>
  <c r="D16" i="25"/>
  <c r="E16" i="25" s="1"/>
  <c r="K16" i="25" s="1"/>
  <c r="D14" i="25"/>
  <c r="E14" i="25" s="1"/>
  <c r="K14" i="25" s="1"/>
  <c r="D12" i="25"/>
  <c r="E12" i="25" s="1"/>
  <c r="K12" i="25" s="1"/>
  <c r="D10" i="25"/>
  <c r="E10" i="25" s="1"/>
  <c r="K10" i="25" s="1"/>
  <c r="D8" i="25"/>
  <c r="E8" i="25" s="1"/>
  <c r="K8" i="25" s="1"/>
  <c r="D6" i="25"/>
  <c r="E6" i="25" s="1"/>
  <c r="K6" i="25" s="1"/>
  <c r="D4" i="25"/>
  <c r="E4" i="25" s="1"/>
  <c r="D15" i="25"/>
  <c r="E15" i="25" s="1"/>
  <c r="K15" i="25" s="1"/>
  <c r="D13" i="25"/>
  <c r="E13" i="25" s="1"/>
  <c r="K13" i="25" s="1"/>
  <c r="D11" i="25"/>
  <c r="E11" i="25" s="1"/>
  <c r="K11" i="25" s="1"/>
  <c r="D9" i="25"/>
  <c r="E9" i="25" s="1"/>
  <c r="K9" i="25" s="1"/>
  <c r="D7" i="25"/>
  <c r="E7" i="25" s="1"/>
  <c r="K7" i="25" s="1"/>
  <c r="D5" i="25"/>
  <c r="E5" i="25" s="1"/>
  <c r="K5" i="25" s="1"/>
  <c r="C54" i="19" l="1"/>
  <c r="C63" i="10"/>
  <c r="E64" i="25"/>
  <c r="D50" i="20" s="1"/>
  <c r="K4" i="25"/>
  <c r="K46" i="25" s="1"/>
  <c r="C52" i="20" l="1"/>
  <c r="B5" i="26"/>
  <c r="C5" i="26" l="1"/>
  <c r="C9" i="26" s="1"/>
  <c r="C11" i="26" s="1"/>
  <c r="C13" i="26" s="1"/>
  <c r="B9" i="26"/>
  <c r="B11" i="26" s="1"/>
  <c r="B13"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Asplund_OE</author>
  </authors>
  <commentList>
    <comment ref="B25" authorId="0" shapeId="0" xr:uid="{00000000-0006-0000-0000-000001000000}">
      <text>
        <r>
          <rPr>
            <b/>
            <sz val="9"/>
            <color indexed="81"/>
            <rFont val="Tahoma"/>
            <family val="2"/>
          </rPr>
          <t>Asplund_OE:</t>
        </r>
        <r>
          <rPr>
            <sz val="9"/>
            <color indexed="81"/>
            <rFont val="Tahoma"/>
            <family val="2"/>
          </rPr>
          <t xml:space="preserve">
Källa
Aktualitet</t>
        </r>
      </text>
    </comment>
    <comment ref="B26" authorId="0" shapeId="0" xr:uid="{00000000-0006-0000-0000-000002000000}">
      <text>
        <r>
          <rPr>
            <b/>
            <sz val="9"/>
            <color indexed="81"/>
            <rFont val="Tahoma"/>
            <family val="2"/>
          </rPr>
          <t>Asplund_OE:</t>
        </r>
        <r>
          <rPr>
            <sz val="9"/>
            <color indexed="81"/>
            <rFont val="Tahoma"/>
            <family val="2"/>
          </rPr>
          <t xml:space="preserve">
Grov kostnadsindikation=schablonkostnadsberäkning
Kostnadsberäkning i järnvägsplan
Kostnad i anbud
mm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Asplund_OE</author>
    <author>Grudemo Stefan, PLee</author>
  </authors>
  <commentList>
    <comment ref="B7" authorId="0" shapeId="0" xr:uid="{00000000-0006-0000-0100-000001000000}">
      <text>
        <r>
          <rPr>
            <b/>
            <sz val="9"/>
            <color indexed="81"/>
            <rFont val="Tahoma"/>
            <family val="2"/>
          </rPr>
          <t>Asplund_OE:</t>
        </r>
        <r>
          <rPr>
            <sz val="9"/>
            <color indexed="81"/>
            <rFont val="Tahoma"/>
            <family val="2"/>
          </rPr>
          <t xml:space="preserve">
Bullernyttor beräknas inte för öppningsåret eftersom årgärden förutsätts färdigställas sent under byggåret.</t>
        </r>
      </text>
    </comment>
    <comment ref="B9" authorId="0" shapeId="0" xr:uid="{00000000-0006-0000-0100-000002000000}">
      <text>
        <r>
          <rPr>
            <b/>
            <sz val="9"/>
            <color indexed="81"/>
            <rFont val="Tahoma"/>
            <family val="2"/>
          </rPr>
          <t>Asplund_OE:</t>
        </r>
        <r>
          <rPr>
            <sz val="9"/>
            <color indexed="81"/>
            <rFont val="Tahoma"/>
            <family val="2"/>
          </rPr>
          <t xml:space="preserve">
Använd kalkylark B om livslängden för andra åtgärder än fönster förväntas vara längre än fönsteråtgärderna</t>
        </r>
      </text>
    </comment>
    <comment ref="F16" authorId="1" shapeId="0" xr:uid="{00000000-0006-0000-0100-000003000000}">
      <text>
        <r>
          <rPr>
            <b/>
            <sz val="9"/>
            <color indexed="81"/>
            <rFont val="Tahoma"/>
            <family val="2"/>
          </rPr>
          <t>Grudemo Stefan, PLee:</t>
        </r>
        <r>
          <rPr>
            <sz val="9"/>
            <color indexed="81"/>
            <rFont val="Tahoma"/>
            <family val="2"/>
          </rPr>
          <t xml:space="preserve">
Ange 2,7 pers/småhus och 1,9 pers/lägenhet i flerfamiljshus.</t>
        </r>
      </text>
    </comment>
    <comment ref="B41" authorId="0" shapeId="0" xr:uid="{00000000-0006-0000-0100-000004000000}">
      <text>
        <r>
          <rPr>
            <b/>
            <sz val="9"/>
            <color indexed="81"/>
            <rFont val="Tahoma"/>
            <family val="2"/>
          </rPr>
          <t>Asplund_OE:</t>
        </r>
        <r>
          <rPr>
            <sz val="9"/>
            <color indexed="81"/>
            <rFont val="Tahoma"/>
            <family val="2"/>
          </rPr>
          <t xml:space="preserve">
Tilläggsruta och fönsterbyte antas i normalfallet inte leda till ökade underhållskostnader utöver kostnaderna innan åtgärd</t>
        </r>
      </text>
    </comment>
    <comment ref="C50" authorId="0" shapeId="0" xr:uid="{00000000-0006-0000-0100-000007000000}">
      <text>
        <r>
          <rPr>
            <b/>
            <sz val="9"/>
            <color indexed="81"/>
            <rFont val="Tahoma"/>
            <family val="2"/>
          </rPr>
          <t>Asplund_Ö:</t>
        </r>
        <r>
          <rPr>
            <sz val="9"/>
            <color indexed="81"/>
            <rFont val="Tahoma"/>
            <family val="2"/>
          </rPr>
          <t xml:space="preserve">
ASEK 5.2 rekommenderar att de betalningsviljebaserade kalkylvärdena räknas upp realt. Den reala uppräkningen kopplas till den förväntade utvecklingen av KPI. Detta medför att bullernyttan som beräknas för 2010 ska räknas upp med en räntesats för varje år under kalkylperioden (se tabellen med förutsättningar ovan).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Asplund_OE</author>
    <author>Grudemo Stefan, PLee</author>
  </authors>
  <commentList>
    <comment ref="B7" authorId="0" shapeId="0" xr:uid="{00000000-0006-0000-0200-000001000000}">
      <text>
        <r>
          <rPr>
            <b/>
            <sz val="9"/>
            <color indexed="81"/>
            <rFont val="Tahoma"/>
            <family val="2"/>
          </rPr>
          <t>Asplund_OE:</t>
        </r>
        <r>
          <rPr>
            <sz val="9"/>
            <color indexed="81"/>
            <rFont val="Tahoma"/>
            <family val="2"/>
          </rPr>
          <t xml:space="preserve">
Bullernyttor beräknas inte för öppningsåret eftersom årgärden förutsätts färdigställas sent under byggåret.</t>
        </r>
      </text>
    </comment>
    <comment ref="B10" authorId="0" shapeId="0" xr:uid="{00000000-0006-0000-0200-000002000000}">
      <text>
        <r>
          <rPr>
            <b/>
            <sz val="9"/>
            <color indexed="81"/>
            <rFont val="Tahoma"/>
            <family val="2"/>
          </rPr>
          <t>Asplund_OE:</t>
        </r>
        <r>
          <rPr>
            <sz val="9"/>
            <color indexed="81"/>
            <rFont val="Tahoma"/>
            <family val="2"/>
          </rPr>
          <t xml:space="preserve">
Livslängden för övriga fasadåtgärder antas vara lika lång som utemiljöåtgärdernas</t>
        </r>
      </text>
    </comment>
    <comment ref="H17" authorId="1" shapeId="0" xr:uid="{00000000-0006-0000-0200-000003000000}">
      <text>
        <r>
          <rPr>
            <b/>
            <sz val="9"/>
            <color indexed="81"/>
            <rFont val="Tahoma"/>
            <family val="2"/>
          </rPr>
          <t>Grudemo Stefan, PLee:</t>
        </r>
        <r>
          <rPr>
            <sz val="9"/>
            <color indexed="81"/>
            <rFont val="Tahoma"/>
            <family val="2"/>
          </rPr>
          <t xml:space="preserve">
Ange 2,7 pers/småhus och 1,9 pers/lägenhet i flerfamiljshus.</t>
        </r>
      </text>
    </comment>
    <comment ref="C59" authorId="0" shapeId="0" xr:uid="{00000000-0006-0000-0200-000006000000}">
      <text>
        <r>
          <rPr>
            <b/>
            <sz val="9"/>
            <color indexed="81"/>
            <rFont val="Tahoma"/>
            <family val="2"/>
          </rPr>
          <t>Asplund_OE:</t>
        </r>
        <r>
          <rPr>
            <sz val="9"/>
            <color indexed="81"/>
            <rFont val="Tahoma"/>
            <family val="2"/>
          </rPr>
          <t xml:space="preserve">
Restvärde beräknas med formeln:
R = I * (n/N)  där 
I = åtgärdens samhällsekonomiska investeringskostnad (exkl, skattefaktor)
N = åtgärdens ekonomiska livslängd i antal år, 
n= åtgärdens återstående livslängd i antal år
</t>
        </r>
      </text>
    </comment>
    <comment ref="B69" authorId="0" shapeId="0" xr:uid="{00000000-0006-0000-0200-000008000000}">
      <text>
        <r>
          <rPr>
            <b/>
            <sz val="9"/>
            <color indexed="81"/>
            <rFont val="Tahoma"/>
            <family val="2"/>
          </rPr>
          <t xml:space="preserve">Asplund_OE:
</t>
        </r>
        <r>
          <rPr>
            <sz val="9"/>
            <color indexed="81"/>
            <rFont val="Tahoma"/>
            <family val="2"/>
          </rPr>
          <t>Nettonuvärdeskvoten NNK = (bullernyttor - driftkostnad - investeringskostnad)/(investeringskostnad+underhållskostnad)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Asplund_OE</author>
    <author>Grudemo Stefan, PLee</author>
  </authors>
  <commentList>
    <comment ref="B7" authorId="0" shapeId="0" xr:uid="{00000000-0006-0000-0300-000001000000}">
      <text>
        <r>
          <rPr>
            <b/>
            <sz val="9"/>
            <color indexed="81"/>
            <rFont val="Tahoma"/>
            <family val="2"/>
          </rPr>
          <t>Asplund_OE:</t>
        </r>
        <r>
          <rPr>
            <sz val="9"/>
            <color indexed="81"/>
            <rFont val="Tahoma"/>
            <family val="2"/>
          </rPr>
          <t xml:space="preserve">
Bullernyttor beräknas inte för öppningsåret eftersom årgärden förutsätts färdigställas sent under byggåret.</t>
        </r>
      </text>
    </comment>
    <comment ref="F16" authorId="1" shapeId="0" xr:uid="{00000000-0006-0000-0300-000002000000}">
      <text>
        <r>
          <rPr>
            <b/>
            <sz val="9"/>
            <color indexed="81"/>
            <rFont val="Tahoma"/>
            <family val="2"/>
          </rPr>
          <t>Grudemo Stefan, PLee:</t>
        </r>
        <r>
          <rPr>
            <sz val="9"/>
            <color indexed="81"/>
            <rFont val="Tahoma"/>
            <family val="2"/>
          </rPr>
          <t xml:space="preserve">
Ange 2,7 pers/småhus och 1,9 pers/lägenhet i flerfamiljshus.</t>
        </r>
      </text>
    </comment>
    <comment ref="G16" authorId="0" shapeId="0" xr:uid="{00000000-0006-0000-0300-000003000000}">
      <text>
        <r>
          <rPr>
            <b/>
            <sz val="9"/>
            <color indexed="81"/>
            <rFont val="Tahoma"/>
            <family val="2"/>
          </rPr>
          <t>Asplund_OE:</t>
        </r>
        <r>
          <rPr>
            <sz val="9"/>
            <color indexed="81"/>
            <rFont val="Tahoma"/>
            <family val="2"/>
          </rPr>
          <t xml:space="preserve">
Innomhusnivån antas minska lika många dB som utomhusnivån</t>
        </r>
      </text>
    </comment>
    <comment ref="C37" authorId="1" shapeId="0" xr:uid="{00000000-0006-0000-0300-000004000000}">
      <text>
        <r>
          <rPr>
            <b/>
            <sz val="9"/>
            <color indexed="81"/>
            <rFont val="Tahoma"/>
            <family val="2"/>
          </rPr>
          <t>Grudemo Stefan, PLee: OBS, viktigt att aktuell typ av skärm väljs.</t>
        </r>
        <r>
          <rPr>
            <sz val="9"/>
            <color indexed="81"/>
            <rFont val="Tahoma"/>
            <family val="2"/>
          </rPr>
          <t xml:space="preserve">
</t>
        </r>
      </text>
    </comment>
    <comment ref="B54" authorId="0" shapeId="0" xr:uid="{00000000-0006-0000-0300-000007000000}">
      <text>
        <r>
          <rPr>
            <b/>
            <sz val="9"/>
            <color indexed="81"/>
            <rFont val="Tahoma"/>
            <family val="2"/>
          </rPr>
          <t>Asplund_OE:</t>
        </r>
        <r>
          <rPr>
            <sz val="9"/>
            <color indexed="81"/>
            <rFont val="Tahoma"/>
            <family val="2"/>
          </rPr>
          <t xml:space="preserve">
Underhållskostnad räknas som en negativ nytta.</t>
        </r>
      </text>
    </comment>
    <comment ref="B60" authorId="0" shapeId="0" xr:uid="{00000000-0006-0000-0300-000008000000}">
      <text>
        <r>
          <rPr>
            <b/>
            <sz val="9"/>
            <color indexed="81"/>
            <rFont val="Tahoma"/>
            <family val="2"/>
          </rPr>
          <t>Asplund_OE:</t>
        </r>
        <r>
          <rPr>
            <sz val="9"/>
            <color indexed="81"/>
            <rFont val="Tahoma"/>
            <family val="2"/>
          </rPr>
          <t>N Nettonuvärdeskvoten NNK-idu = (bullernyttor - driftkostnad - investeringskostnad)/(investeringskostnad+underhållskostnad)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Asplund_OE</author>
    <author>Grudemo Stefan, PLee</author>
  </authors>
  <commentList>
    <comment ref="B7" authorId="0" shapeId="0" xr:uid="{00000000-0006-0000-0400-000001000000}">
      <text>
        <r>
          <rPr>
            <b/>
            <sz val="9"/>
            <color indexed="81"/>
            <rFont val="Tahoma"/>
            <family val="2"/>
          </rPr>
          <t>Asplund_OE:</t>
        </r>
        <r>
          <rPr>
            <sz val="9"/>
            <color indexed="81"/>
            <rFont val="Tahoma"/>
            <family val="2"/>
          </rPr>
          <t xml:space="preserve">
Bullernyttor beräknas inte för öppningsåret eftersom årgärden förutsätts färdigställas sent under byggåret.</t>
        </r>
      </text>
    </comment>
    <comment ref="F16" authorId="1" shapeId="0" xr:uid="{00000000-0006-0000-0400-000002000000}">
      <text>
        <r>
          <rPr>
            <b/>
            <sz val="9"/>
            <color indexed="81"/>
            <rFont val="Tahoma"/>
            <family val="2"/>
          </rPr>
          <t>Grudemo Stefan, PLee:</t>
        </r>
        <r>
          <rPr>
            <sz val="9"/>
            <color indexed="81"/>
            <rFont val="Tahoma"/>
            <family val="2"/>
          </rPr>
          <t xml:space="preserve">
Ange 2,7 pers/småhus och 1,9 pers/lägenhet i flerfamiljshus.</t>
        </r>
      </text>
    </comment>
    <comment ref="G16" authorId="0" shapeId="0" xr:uid="{00000000-0006-0000-0400-000003000000}">
      <text>
        <r>
          <rPr>
            <b/>
            <sz val="9"/>
            <color indexed="81"/>
            <rFont val="Tahoma"/>
            <family val="2"/>
          </rPr>
          <t>Asplund_OE:</t>
        </r>
        <r>
          <rPr>
            <sz val="9"/>
            <color indexed="81"/>
            <rFont val="Tahoma"/>
            <family val="2"/>
          </rPr>
          <t xml:space="preserve">
Innomhusnivån antas minska lika många dB som utomhusnivån</t>
        </r>
      </text>
    </comment>
    <comment ref="B35" authorId="0" shapeId="0" xr:uid="{00000000-0006-0000-0400-000004000000}">
      <text>
        <r>
          <rPr>
            <b/>
            <sz val="9"/>
            <color indexed="81"/>
            <rFont val="Tahoma"/>
            <family val="2"/>
          </rPr>
          <t>Asplund_OE:</t>
        </r>
        <r>
          <rPr>
            <sz val="9"/>
            <color indexed="81"/>
            <rFont val="Tahoma"/>
            <family val="2"/>
          </rPr>
          <t xml:space="preserve">
Endast för dokumentation. Används inte för beräkningar</t>
        </r>
      </text>
    </comment>
    <comment ref="B36" authorId="0" shapeId="0" xr:uid="{00000000-0006-0000-0400-000005000000}">
      <text>
        <r>
          <rPr>
            <b/>
            <sz val="9"/>
            <color indexed="81"/>
            <rFont val="Tahoma"/>
            <family val="2"/>
          </rPr>
          <t>Asplund_OE:</t>
        </r>
        <r>
          <rPr>
            <sz val="9"/>
            <color indexed="81"/>
            <rFont val="Tahoma"/>
            <family val="2"/>
          </rPr>
          <t xml:space="preserve">
Endast för dokumentation. Används inte för beräkningar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Asplund_OE</author>
    <author>Grudemo Stefan, PLee</author>
  </authors>
  <commentList>
    <comment ref="B7" authorId="0" shapeId="0" xr:uid="{00000000-0006-0000-0500-000001000000}">
      <text>
        <r>
          <rPr>
            <b/>
            <sz val="9"/>
            <color indexed="81"/>
            <rFont val="Tahoma"/>
            <family val="2"/>
          </rPr>
          <t>Asplund_OE:</t>
        </r>
        <r>
          <rPr>
            <sz val="9"/>
            <color indexed="81"/>
            <rFont val="Tahoma"/>
            <family val="2"/>
          </rPr>
          <t xml:space="preserve">
Bullernyttor beräknas inte för öppningsåret eftersom årgärden förutsätts färdigställas sent under byggåret.</t>
        </r>
      </text>
    </comment>
    <comment ref="F16" authorId="1" shapeId="0" xr:uid="{00000000-0006-0000-0500-000002000000}">
      <text>
        <r>
          <rPr>
            <b/>
            <sz val="9"/>
            <color indexed="81"/>
            <rFont val="Tahoma"/>
            <family val="2"/>
          </rPr>
          <t>Grudemo Stefan, PLee:</t>
        </r>
        <r>
          <rPr>
            <sz val="9"/>
            <color indexed="81"/>
            <rFont val="Tahoma"/>
            <family val="2"/>
          </rPr>
          <t xml:space="preserve">
Ange 2,7 pers/småhus och 1,9 pers/lägenhet i flerfamiljshus.</t>
        </r>
      </text>
    </comment>
    <comment ref="C43" authorId="0" shapeId="0" xr:uid="{00000000-0006-0000-0500-000005000000}">
      <text>
        <r>
          <rPr>
            <b/>
            <sz val="9"/>
            <color indexed="81"/>
            <rFont val="Tahoma"/>
            <family val="2"/>
          </rPr>
          <t>Asplund_OE:</t>
        </r>
        <r>
          <rPr>
            <sz val="9"/>
            <color indexed="81"/>
            <rFont val="Tahoma"/>
            <family val="2"/>
          </rPr>
          <t xml:space="preserve">
ASEK 5.2 rekommenderar att de betalningsviljebaserade kalkylvärdena räknas upp realt. Den reala uppräkningen kopplas till den förväntade utvecklingen av KPI. Detta medför att bullernyttan som beräknas för 2010 ska räknas upp med en räntesats för varje år under kalkylperioden (se tabellen med förutsättningar ovan).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Katrin Olofsson</author>
  </authors>
  <commentList>
    <comment ref="C52" authorId="0" shapeId="0" xr:uid="{00000000-0006-0000-0700-000001000000}">
      <text>
        <r>
          <rPr>
            <sz val="9"/>
            <color indexed="81"/>
            <rFont val="Tahoma"/>
            <family val="2"/>
          </rPr>
          <t xml:space="preserve">Ingen ökad kostnad jämfört med kostnaden före åtgärd. I praktiken kan tom underhållskostnaden minska.
</t>
        </r>
      </text>
    </comment>
  </commentList>
</comments>
</file>

<file path=xl/sharedStrings.xml><?xml version="1.0" encoding="utf-8"?>
<sst xmlns="http://schemas.openxmlformats.org/spreadsheetml/2006/main" count="566" uniqueCount="318">
  <si>
    <t>Förutsättningar</t>
  </si>
  <si>
    <t>Kalkylperiod år</t>
  </si>
  <si>
    <t>Kalkylränta</t>
  </si>
  <si>
    <t>Antal personer</t>
  </si>
  <si>
    <t>Nytta</t>
  </si>
  <si>
    <t>Resultat</t>
  </si>
  <si>
    <t>Bullernytta</t>
  </si>
  <si>
    <r>
      <t>kr/m</t>
    </r>
    <r>
      <rPr>
        <vertAlign val="superscript"/>
        <sz val="10"/>
        <rFont val="Arial"/>
        <family val="2"/>
      </rPr>
      <t>2</t>
    </r>
  </si>
  <si>
    <t>Underhållskostnad</t>
  </si>
  <si>
    <t>Uppskattad utenytta i %</t>
  </si>
  <si>
    <t>kr</t>
  </si>
  <si>
    <t>Åtgärd</t>
  </si>
  <si>
    <t>Tillsatsruta och tätning</t>
  </si>
  <si>
    <t>Uteplats</t>
  </si>
  <si>
    <t>År</t>
  </si>
  <si>
    <t>Endast ofärgade celler måste fyllas i</t>
  </si>
  <si>
    <t>Ljusblå celler med mörkblå text bör justeras om förhållanden i det enskilda fallet så kräver</t>
  </si>
  <si>
    <t>Ljusblå celler med svart text är beräkningsresultat eller förklaringstext</t>
  </si>
  <si>
    <t>Byggkostnad fönster</t>
  </si>
  <si>
    <t>Fönster</t>
  </si>
  <si>
    <t xml:space="preserve">Investeringskostnad  </t>
  </si>
  <si>
    <t>kalkylperiod</t>
  </si>
  <si>
    <t>Kalkylperiod</t>
  </si>
  <si>
    <t>Per år</t>
  </si>
  <si>
    <t>Underhållskostnad fönster</t>
  </si>
  <si>
    <t xml:space="preserve">Underhållskostnad </t>
  </si>
  <si>
    <t>Underhåll</t>
  </si>
  <si>
    <t>Underh Fönster</t>
  </si>
  <si>
    <t>kr/år</t>
  </si>
  <si>
    <t>Utomhus</t>
  </si>
  <si>
    <t>Inomhus</t>
  </si>
  <si>
    <t>Bullervärdering</t>
  </si>
  <si>
    <t>Inomhus, kr</t>
  </si>
  <si>
    <t>k-värde</t>
  </si>
  <si>
    <t>Utom- och inomhus</t>
  </si>
  <si>
    <t>Årlig ökning av åtgärdens effekt</t>
  </si>
  <si>
    <t>Summa nytta under första året (ej diskonterad)</t>
  </si>
  <si>
    <t>Fasadreduktion före åtgärd dB(A)</t>
  </si>
  <si>
    <t>dB(A)</t>
  </si>
  <si>
    <t>Livslängd för bullerskärm</t>
  </si>
  <si>
    <t>Livslängd för bullervall</t>
  </si>
  <si>
    <t>Nuvärde kalkylperiod</t>
  </si>
  <si>
    <t>Antal löpmeter vall</t>
  </si>
  <si>
    <t>Byggkostnad vall</t>
  </si>
  <si>
    <t>lm</t>
  </si>
  <si>
    <t>Underhållskostnad per enhet vall</t>
  </si>
  <si>
    <t>Underhållskostnad vall</t>
  </si>
  <si>
    <t>Rivning, avgifter mm</t>
  </si>
  <si>
    <t>Summa kostnader</t>
  </si>
  <si>
    <t>Kr</t>
  </si>
  <si>
    <t>Underhållskostnad Vall</t>
  </si>
  <si>
    <t>Nytta inne</t>
  </si>
  <si>
    <t>Nytta ute</t>
  </si>
  <si>
    <t>Bullernytta ute</t>
  </si>
  <si>
    <t>Bullernytta inne</t>
  </si>
  <si>
    <t xml:space="preserve">Kalkylperiod </t>
  </si>
  <si>
    <t>Restvärde</t>
  </si>
  <si>
    <t>Årlig förändring av åtgärdens effekt</t>
  </si>
  <si>
    <t>LAEq 24 h, ute</t>
  </si>
  <si>
    <t>Inomhus och utomhus</t>
  </si>
  <si>
    <t>dB</t>
  </si>
  <si>
    <t>kr/utsatt och år</t>
  </si>
  <si>
    <t>Tilläggsruta</t>
  </si>
  <si>
    <t>Fönsterbyte</t>
  </si>
  <si>
    <t>Höjd över mark</t>
  </si>
  <si>
    <t>m</t>
  </si>
  <si>
    <t>Byggkostnad skärm</t>
  </si>
  <si>
    <t>Underhållskostnad per enhet skärm</t>
  </si>
  <si>
    <t>Antal löpmeter skärm</t>
  </si>
  <si>
    <t>Datum</t>
  </si>
  <si>
    <t>Handläggare</t>
  </si>
  <si>
    <t>Metod för bullerberäkning</t>
  </si>
  <si>
    <t>Dokumentation</t>
  </si>
  <si>
    <t>Indata om trafik för bullerberäkning</t>
  </si>
  <si>
    <t>Indata om kostnader</t>
  </si>
  <si>
    <t>Summa byggkostnader</t>
  </si>
  <si>
    <t>Skärmhöjd (max 4 m)</t>
  </si>
  <si>
    <t>Fasad</t>
  </si>
  <si>
    <t>Skärm</t>
  </si>
  <si>
    <t>kr/st</t>
  </si>
  <si>
    <t>kr/lm</t>
  </si>
  <si>
    <t>Kostnad ljuddämpning av tilluft</t>
  </si>
  <si>
    <t>Kostnad tilläggsisolering vägg</t>
  </si>
  <si>
    <t>Projektnr</t>
  </si>
  <si>
    <t>Projektnamn</t>
  </si>
  <si>
    <r>
      <t>kr/m</t>
    </r>
    <r>
      <rPr>
        <vertAlign val="superscript"/>
        <sz val="10"/>
        <rFont val="Arial"/>
        <family val="2"/>
      </rPr>
      <t xml:space="preserve">2 </t>
    </r>
  </si>
  <si>
    <r>
      <t>kr/m</t>
    </r>
    <r>
      <rPr>
        <vertAlign val="superscript"/>
        <sz val="10"/>
        <rFont val="Arial"/>
        <family val="2"/>
      </rPr>
      <t>2</t>
    </r>
    <r>
      <rPr>
        <sz val="10"/>
        <rFont val="Arial"/>
        <family val="2"/>
      </rPr>
      <t/>
    </r>
  </si>
  <si>
    <r>
      <t>kr/m</t>
    </r>
    <r>
      <rPr>
        <vertAlign val="superscript"/>
        <sz val="10"/>
        <rFont val="Arial"/>
        <family val="2"/>
      </rPr>
      <t>2</t>
    </r>
    <r>
      <rPr>
        <sz val="10"/>
        <rFont val="Arial"/>
        <family val="2"/>
      </rPr>
      <t xml:space="preserve"> </t>
    </r>
  </si>
  <si>
    <t>Livslängd för fasadåtgärd år</t>
  </si>
  <si>
    <t>Livslängd för utemiljöåtgärd</t>
  </si>
  <si>
    <t>Underhållskostnad skärm</t>
  </si>
  <si>
    <t>Underh Skärm</t>
  </si>
  <si>
    <t>Underhållskostnad uteplatsskärm</t>
  </si>
  <si>
    <t xml:space="preserve">Endast ofärgade celler måste fyllas i </t>
  </si>
  <si>
    <t>Fasadreduktion före åtgärd dB</t>
  </si>
  <si>
    <t>Fasadreduktion efter åtgärd dB</t>
  </si>
  <si>
    <t>Antal fönster med tilläggsruta</t>
  </si>
  <si>
    <t>st</t>
  </si>
  <si>
    <t>Antal fönster med fönsterbyte</t>
  </si>
  <si>
    <t>Defaultkostnader som används i beräkningarna</t>
  </si>
  <si>
    <t>Enhet</t>
  </si>
  <si>
    <t>Beskrivning av åtgärden</t>
  </si>
  <si>
    <t>Nyttor som inte ingår i kalkylen och slutsatser</t>
  </si>
  <si>
    <t>Övriga kommentarer</t>
  </si>
  <si>
    <t>Summa byggkostnader fasad</t>
  </si>
  <si>
    <r>
      <t>Fasadreduktion efter åtgärd dB</t>
    </r>
    <r>
      <rPr>
        <b/>
        <sz val="10"/>
        <rFont val="Arial"/>
        <family val="2"/>
      </rPr>
      <t/>
    </r>
  </si>
  <si>
    <t>dBA efter åtgärd vid uteplats</t>
  </si>
  <si>
    <t>dB efter åtgärd, ute-miljö och hela fasaden</t>
  </si>
  <si>
    <t>Motsvarande sänkning av inomhusnivån</t>
  </si>
  <si>
    <t>Inomhusnytta</t>
  </si>
  <si>
    <t>utomhusnytta</t>
  </si>
  <si>
    <t xml:space="preserve">Per år   </t>
  </si>
  <si>
    <t>dBA efter åtgärd, utemiljö och hela fasaden</t>
  </si>
  <si>
    <t>dBA efter åtgärd ute och inne</t>
  </si>
  <si>
    <t>Ljuddämpat tilluftsdon borrat genom vägg</t>
  </si>
  <si>
    <t>Ljuddäpad spaltventil i fönster</t>
  </si>
  <si>
    <t>Dämpning av bröstning i fönsterdörr</t>
  </si>
  <si>
    <t>Ljuddämpande entredörr</t>
  </si>
  <si>
    <t>Följande gör fönstren dyrare: Spröjs, annan kulör än vit, persienn m m</t>
  </si>
  <si>
    <t>Lokal skärm vid uteplats</t>
  </si>
  <si>
    <t>kr/uteplats</t>
  </si>
  <si>
    <t>Ersättning för egen åtgärd</t>
  </si>
  <si>
    <t>Ny uteplats på skärmad sida</t>
  </si>
  <si>
    <t>Inglasning av befintlig uteplats som redan har tak och bröstning</t>
  </si>
  <si>
    <t>Inglasning av hel balkong, liten</t>
  </si>
  <si>
    <t>kr/balkong</t>
  </si>
  <si>
    <t>Inglasning av hel balkong, stor</t>
  </si>
  <si>
    <t>Inglasning av halv balkong</t>
  </si>
  <si>
    <t>Helt ny och inglasad balkong</t>
  </si>
  <si>
    <t>Vall</t>
  </si>
  <si>
    <t>Restvärde/år rak avskrivning</t>
  </si>
  <si>
    <t>Byggkostnad utemiljöåtgärd</t>
  </si>
  <si>
    <t>Underhållskostnad utemiljöåtgärd</t>
  </si>
  <si>
    <t>Investeringskostnad fasad</t>
  </si>
  <si>
    <t>Investeringskostnad utemiljöåtgärd</t>
  </si>
  <si>
    <t xml:space="preserve">Underhållskostnad fasad </t>
  </si>
  <si>
    <t>kr/lm och år</t>
  </si>
  <si>
    <t>Livslängd för fönster år</t>
  </si>
  <si>
    <t>Investeringskostnad Vall och övriga fasadåtgärder</t>
  </si>
  <si>
    <t>Nytta år 1</t>
  </si>
  <si>
    <t>Årlig uppräkning bullernyttan</t>
  </si>
  <si>
    <t>Årlig uppräkning av bullernyttan</t>
  </si>
  <si>
    <t>Investeringskostnad</t>
  </si>
  <si>
    <t>Investeringskostnad inkl skattefaktor</t>
  </si>
  <si>
    <t xml:space="preserve">Bullernytta </t>
  </si>
  <si>
    <t>Nytta utemiljö</t>
  </si>
  <si>
    <t>utemiljöåtgärd</t>
  </si>
  <si>
    <t>Restvärde utemiljö</t>
  </si>
  <si>
    <t>Nytta fönster</t>
  </si>
  <si>
    <t>utemiljö</t>
  </si>
  <si>
    <t>Underh utemiljö</t>
  </si>
  <si>
    <t>Investering fönster</t>
  </si>
  <si>
    <t>Investering utemiljö</t>
  </si>
  <si>
    <t>Kostnad fönster</t>
  </si>
  <si>
    <t>Kostnad utemiljö</t>
  </si>
  <si>
    <t>Summa kalkylperioden</t>
  </si>
  <si>
    <t>Investering skärm</t>
  </si>
  <si>
    <r>
      <t>kr/m</t>
    </r>
    <r>
      <rPr>
        <vertAlign val="superscript"/>
        <sz val="10"/>
        <rFont val="Arial"/>
        <family val="2"/>
      </rPr>
      <t xml:space="preserve">2 </t>
    </r>
    <r>
      <rPr>
        <sz val="10"/>
        <rFont val="Arial"/>
        <family val="2"/>
      </rPr>
      <t>och år</t>
    </r>
  </si>
  <si>
    <t>vall</t>
  </si>
  <si>
    <t>Investering vall</t>
  </si>
  <si>
    <t>Summa kalkylperiod</t>
  </si>
  <si>
    <t>kr/fönster</t>
  </si>
  <si>
    <t>Prisnivå</t>
  </si>
  <si>
    <t>Anläggningskostnad</t>
  </si>
  <si>
    <t>%</t>
  </si>
  <si>
    <t>Byggherrekostnad</t>
  </si>
  <si>
    <t>år</t>
  </si>
  <si>
    <t>Underhållskostnad fasad</t>
  </si>
  <si>
    <t>Årlig  kostnad</t>
  </si>
  <si>
    <t>Skärmdämpning</t>
  </si>
  <si>
    <t>Cs</t>
  </si>
  <si>
    <t>Teoretisk fasaddämpning</t>
  </si>
  <si>
    <t>Nytta fasadåtgärd</t>
  </si>
  <si>
    <t>Nytta skärm/vall</t>
  </si>
  <si>
    <t>Effekter av fasadåtgärder</t>
  </si>
  <si>
    <t>Bakgrund</t>
  </si>
  <si>
    <t xml:space="preserve">Vilken effekt olika typer av åtgärder får beror på hur befintlig fasad är byggd. </t>
  </si>
  <si>
    <t xml:space="preserve">Är fönstren t ex kopplade 1+1 glas eller är det 2- eller 3-glas isolerrutor? Är det tunnn trävägg eller tjock stenvägg? </t>
  </si>
  <si>
    <t>Finns friskluftventiler och är dom i så fall monterade i fönsterkarm eller i vägg?</t>
  </si>
  <si>
    <t>Fasadens ljudreduktion blir inte bättre en den svagaste delen i fasaden medger.</t>
  </si>
  <si>
    <t>Ljudnivå vid fasad och eftersträvad inomhusnivå är avgörande för vilka fasadåtgärder som behöver vidtas.</t>
  </si>
  <si>
    <t>Eftersom det är många parametrar som påverkar fasaders ljudreduktion är det svårt att enge schabloner för vilka effekter olika åtgärder får.</t>
  </si>
  <si>
    <t xml:space="preserve">Nedan finns dock ungefärliga spann av effekter som kan förväntas. </t>
  </si>
  <si>
    <t>Fönsteråtgärder:</t>
  </si>
  <si>
    <t>Justera fönster och tätningslist</t>
  </si>
  <si>
    <t>Byte till isolerglas i en båge</t>
  </si>
  <si>
    <t>32-37 dB</t>
  </si>
  <si>
    <t>2-7 dB</t>
  </si>
  <si>
    <r>
      <t>Byte av fönster (R</t>
    </r>
    <r>
      <rPr>
        <vertAlign val="subscript"/>
        <sz val="10"/>
        <rFont val="Arial"/>
        <family val="2"/>
      </rPr>
      <t>w+C</t>
    </r>
    <r>
      <rPr>
        <sz val="10"/>
        <rFont val="Arial"/>
        <family val="2"/>
      </rPr>
      <t xml:space="preserve"> 44, R</t>
    </r>
    <r>
      <rPr>
        <vertAlign val="subscript"/>
        <sz val="10"/>
        <rFont val="Arial"/>
        <family val="2"/>
      </rPr>
      <t>w+Ctr</t>
    </r>
    <r>
      <rPr>
        <sz val="10"/>
        <rFont val="Arial"/>
        <family val="2"/>
      </rPr>
      <t xml:space="preserve"> 40)</t>
    </r>
  </si>
  <si>
    <t>35-40 dB</t>
  </si>
  <si>
    <t>5-10 dB</t>
  </si>
  <si>
    <r>
      <t>Byte av fönster (R</t>
    </r>
    <r>
      <rPr>
        <vertAlign val="subscript"/>
        <sz val="10"/>
        <rFont val="Arial"/>
        <family val="2"/>
      </rPr>
      <t>w+C</t>
    </r>
    <r>
      <rPr>
        <sz val="10"/>
        <rFont val="Arial"/>
        <family val="2"/>
      </rPr>
      <t xml:space="preserve"> 49, R</t>
    </r>
    <r>
      <rPr>
        <vertAlign val="subscript"/>
        <sz val="10"/>
        <rFont val="Arial"/>
        <family val="2"/>
      </rPr>
      <t>w+Ctr</t>
    </r>
    <r>
      <rPr>
        <sz val="10"/>
        <rFont val="Arial"/>
        <family val="2"/>
      </rPr>
      <t xml:space="preserve"> 45)</t>
    </r>
  </si>
  <si>
    <t>Nedan finns kommentarer till olika typer av åtgärder.</t>
  </si>
  <si>
    <t>Olika åtgärder</t>
  </si>
  <si>
    <t>Kommentar</t>
  </si>
  <si>
    <t>Åtgärder på befintliga fönster</t>
  </si>
  <si>
    <t>Förutsätter att befintliga fönster är i ett sådant sklick och har sådan konstruktion att de klarar den ökade glasvikten.</t>
  </si>
  <si>
    <t xml:space="preserve">Kan ge uppåt 6-7 dB förbättring av fönstrets ljudreduktion. </t>
  </si>
  <si>
    <t xml:space="preserve">Fungerar bäst på kopplade 1+1 fönster. </t>
  </si>
  <si>
    <t xml:space="preserve">Vanligt att  2+35+2 eller 3+35+3 kompletteras med 8 float eller 8,8 ljudlamell, t.ex. 3+35+3-12-8 </t>
  </si>
  <si>
    <t>Alternativt tas innerglas tas bort och ersätts med trappat ig/thermo så att det blir t.ex. 2+35+4-12-8</t>
  </si>
  <si>
    <t>Byte till tjockare glas kan fungera bra om befintliga fönster är kopplade 1+2.</t>
  </si>
  <si>
    <t>Fönsterbyten</t>
  </si>
  <si>
    <t>Lämpligt åtgärd då större föbättring (över 7 dB) förbättring av fasadens ljudreduktion behöver åstadkommas,</t>
  </si>
  <si>
    <t>Lämpligt även vid lägre behov av ljudreduktion om befintliga fönster är i ett sådant sklick och har sådan konstruktion att de klarar den ökade glasvikten.</t>
  </si>
  <si>
    <t xml:space="preserve">På marknaden finns fönster med Rw upp över 50 dB.   </t>
  </si>
  <si>
    <r>
      <t>Merkostnaden för högre ljudreduktion är försumbar/liten upp till ca R</t>
    </r>
    <r>
      <rPr>
        <vertAlign val="subscript"/>
        <sz val="10"/>
        <rFont val="Arial"/>
        <family val="2"/>
      </rPr>
      <t>w</t>
    </r>
    <r>
      <rPr>
        <sz val="10"/>
        <rFont val="Arial"/>
        <family val="2"/>
      </rPr>
      <t>+C 47 dB respektive R</t>
    </r>
    <r>
      <rPr>
        <vertAlign val="subscript"/>
        <sz val="10"/>
        <rFont val="Arial"/>
        <family val="2"/>
      </rPr>
      <t>w</t>
    </r>
    <r>
      <rPr>
        <sz val="10"/>
        <rFont val="Arial"/>
        <family val="2"/>
      </rPr>
      <t>+C</t>
    </r>
    <r>
      <rPr>
        <vertAlign val="subscript"/>
        <sz val="10"/>
        <rFont val="Arial"/>
        <family val="2"/>
      </rPr>
      <t>tr</t>
    </r>
    <r>
      <rPr>
        <sz val="10"/>
        <rFont val="Arial"/>
        <family val="2"/>
      </rPr>
      <t xml:space="preserve"> 43 dB. </t>
    </r>
  </si>
  <si>
    <t>Om nya fönster med hög ljudreduktion monteras torde väggar och friskluftventiler alltid bli begränsande för fasadens ljudreduktion.</t>
  </si>
  <si>
    <t>Ljuddämpning av friskluftventiler</t>
  </si>
  <si>
    <t xml:space="preserve">I första hand bör friskluftventiler sättas i vägg eftersom högre ljudreduktion kan nås i sådana jämfört med ventiler i fönsterkarm. </t>
  </si>
  <si>
    <t>Ljudreduktionen för friskluftventiler som borras genom vägg  är beroende av väggens tjocklek och konstruktion. Man kan därför inte utgå från den ljudreduktion som anges av tillverkaren rakt av.</t>
  </si>
  <si>
    <t>Vid fasadåtgärder bör man alltid använda den friskluftventil på marknaden som har högst reduktionstal (kostnaden för ökad ljuddämpning i ventilen är försumbar)</t>
  </si>
  <si>
    <t>Vid höga nivåer utomhus kan det krävas en extra ljudfälla på utsida fasaden.</t>
  </si>
  <si>
    <t xml:space="preserve">Ska friskluftventiler monteras i fönsterkarm bör provningsintyg för den sammansatta produkten (fönster+ventil) efterfrågas. Provningsintyget bör avse både luftflöde och ljudreduktion. </t>
  </si>
  <si>
    <t>Restvärde utemiljöåtgärd</t>
  </si>
  <si>
    <t>Max 2 m hög skärm på släntkrön</t>
  </si>
  <si>
    <t>Över 4 m höjd = egen kostnad behöver räknas fram</t>
  </si>
  <si>
    <t>Max 4 m hög skärm på släntkrön</t>
  </si>
  <si>
    <t>Underhållskostnad lång skärm</t>
  </si>
  <si>
    <t>OBS! Ytterväggar med sämre ljudisolering påverkar utfallet av fönsteråtgärder därav låga värden i spannet.</t>
  </si>
  <si>
    <t>Ljudnivåskillnad (frifält utenivå - inomhusnivå) efter åtgärd</t>
  </si>
  <si>
    <t>Förväntat resultat efter åtgärd</t>
  </si>
  <si>
    <t>Förväntad förbättring efter åtgärd</t>
  </si>
  <si>
    <t>31-32 dB</t>
  </si>
  <si>
    <t>1-2 dB</t>
  </si>
  <si>
    <t>35-46 dB</t>
  </si>
  <si>
    <t>5-16 dB</t>
  </si>
  <si>
    <t>Montage av ljuddämpare på befintliga ventiler kan begränsa luftflödet.</t>
  </si>
  <si>
    <t>Låg spårnära (0,73 m över rök)</t>
  </si>
  <si>
    <t>Max 4 m hög skärm med absorbent på banvall (inom 4,5 m fr spm)</t>
  </si>
  <si>
    <t>Exempel på kostnader (anläggningskostnader exkl byggherrekostnader)</t>
  </si>
  <si>
    <t xml:space="preserve">Skärmar                                                            </t>
  </si>
  <si>
    <t>Anläggningskostnader för skärmar kan variera kraftigt bl a beroende på grundläggningsförutsättningar, tågens hastigheter och materialval.</t>
  </si>
  <si>
    <t xml:space="preserve">Planeringsfall påverkar också: </t>
  </si>
  <si>
    <t>Kostnaden blir lägst om skärmen uppförs i samband med nybyggnad av järnväg eftersom arbetet med skärmarna kan ske från terrass parallelt med övrigt anläggningsarbete samt att ingen hänsyn behöver tas till tågtrafik.</t>
  </si>
  <si>
    <t>Kostnaden blir högst om enstaka skärmar uppförs i befintlig miljö eftersom entreprenadarbetena då inte kan samordnas med andra anläggningsarbeten som i investeringsprojekt samt att arbetstider kan begränsas av tågfria tider.</t>
  </si>
  <si>
    <t>Ovanstående defaultkostnader för höga skärmar på banvall utgör en snittkostnad för samtliga scenarion. För låga spårnära skärmar avser åtgärdskostnaden montage vid icke trafikerat spår (nybyggnad/väs.ombyggnad).</t>
  </si>
  <si>
    <t>För skärmar högre än 4 m finns inget schablonvärde utan egna kostnadskalkyler behöver alltid göras.</t>
  </si>
  <si>
    <t>Skärmar efter järnväg bör ha absorbent eftersom ljudet annars studsar mellan vagn och skärm, vilket försämrar skärmens effekt betydligt.</t>
  </si>
  <si>
    <t>Nedan redovisas intervall för vad olika typer av skärmar (≤4 m höga) kan kosta:</t>
  </si>
  <si>
    <t>Skärmar på banvall:</t>
  </si>
  <si>
    <t>Låga spårnära skärmar</t>
  </si>
  <si>
    <t>kr/lpm</t>
  </si>
  <si>
    <t>Klassiska träskärmar med absorbent</t>
  </si>
  <si>
    <r>
      <t>kr/m</t>
    </r>
    <r>
      <rPr>
        <vertAlign val="superscript"/>
        <sz val="10"/>
        <color theme="1"/>
        <rFont val="Arial"/>
        <family val="2"/>
      </rPr>
      <t>2</t>
    </r>
  </si>
  <si>
    <t>Skärmar helt eller delvis av plexiglas (genomsiktlighet= utan absorbent)</t>
  </si>
  <si>
    <t>Plexiglasskärmar fästa på broräcken (genomsiktlighet= utan absorbent)</t>
  </si>
  <si>
    <t>Skärmar som inte är placerade på banvall:</t>
  </si>
  <si>
    <t>Klassiska träskärmar</t>
  </si>
  <si>
    <t>Plastskärmar</t>
  </si>
  <si>
    <t>Plastskärmar med inbyggd absorbent (perforering)</t>
  </si>
  <si>
    <t>Skärmar i pilträ (absorbent inbyggd)</t>
  </si>
  <si>
    <t>Skärmar helt eller delvis av transparenta skivor (genomsiktlighet= utan absorbent)</t>
  </si>
  <si>
    <t>Skärmar fästa på bro- och vägräcken</t>
  </si>
  <si>
    <t xml:space="preserve">Fasad                                                         </t>
  </si>
  <si>
    <t>Tilläggsisolering med fristående innervägg, hörnrum</t>
  </si>
  <si>
    <t>kr/rum</t>
  </si>
  <si>
    <t>Tilläggsisolering med fristående innervägg, en vägg</t>
  </si>
  <si>
    <t>Anläggningskostnad per m3</t>
  </si>
  <si>
    <t>Anläggningskostnad per lm</t>
  </si>
  <si>
    <t>Egna överskottsmassor (dvs endast hantering)</t>
  </si>
  <si>
    <t>kr/m3</t>
  </si>
  <si>
    <t>kr/lm om 2 m hög vall</t>
  </si>
  <si>
    <t>Köpta massor (dvs köp, transport och hantering)</t>
  </si>
  <si>
    <t>Kostnad för förvärv och rivning</t>
  </si>
  <si>
    <t>Förvärv av fastighet</t>
  </si>
  <si>
    <t>"Livslängd" för förvärv</t>
  </si>
  <si>
    <t>Nettonuvärde</t>
  </si>
  <si>
    <t>NNK</t>
  </si>
  <si>
    <t>NNK för fasad/skärm</t>
  </si>
  <si>
    <t>NNK för fasad/vall</t>
  </si>
  <si>
    <t>Fastighet (a, b, c etc.)</t>
  </si>
  <si>
    <t>Lägsta  dba</t>
  </si>
  <si>
    <t>Lägsta dBA</t>
  </si>
  <si>
    <t>Investeringskostnad skärm</t>
  </si>
  <si>
    <t>Typ av skärm (välj skärm i rullistan)</t>
  </si>
  <si>
    <t>dBA utomhus vid fasad (ej under 50, ej över 75)</t>
  </si>
  <si>
    <t>NUK</t>
  </si>
  <si>
    <t>Beräkning av bullernyttan under 1:a året (ej diskonterad), värdering avser 2019 års prisnivå</t>
  </si>
  <si>
    <t>6 600-16 500</t>
  </si>
  <si>
    <t>4 400-11 000</t>
  </si>
  <si>
    <t>5 500-11 000</t>
  </si>
  <si>
    <t>3 300-4 400</t>
  </si>
  <si>
    <t>6 000-114 000</t>
  </si>
  <si>
    <t>22 000-46 000</t>
  </si>
  <si>
    <t>11 000-46 000</t>
  </si>
  <si>
    <t>33 000-57 000</t>
  </si>
  <si>
    <t>16 000-27 000</t>
  </si>
  <si>
    <t>110000-137 000</t>
  </si>
  <si>
    <t>Produktionskostnad</t>
  </si>
  <si>
    <t>275 och uppåt</t>
  </si>
  <si>
    <t>2750 och uppåt</t>
  </si>
  <si>
    <t xml:space="preserve">Beräkning av sammanvägning av nettonuvärde, NNK och NUK för resultat från flik A och C respektive A och D </t>
  </si>
  <si>
    <t>Beräkning av bygg- och underhållskostnad exkl. skattefinansieringskostnad i 2019 års prisnivå</t>
  </si>
  <si>
    <t>inkl skattefinansieringskostnad</t>
  </si>
  <si>
    <t>Utgift (Investering + underhåll), inkl. skattefinansieringskostnad</t>
  </si>
  <si>
    <t>Utgift (Investering + underhåll), exkl. skattefinansieringskostnad</t>
  </si>
  <si>
    <t>Skattefinansieringsfaktor</t>
  </si>
  <si>
    <t>2019 års prisnivå</t>
  </si>
  <si>
    <t>1 600-4 900</t>
  </si>
  <si>
    <t>3 300-8 200</t>
  </si>
  <si>
    <t>1 800-2 700</t>
  </si>
  <si>
    <t>2 500-3 800</t>
  </si>
  <si>
    <t>3 000-3 800</t>
  </si>
  <si>
    <t>2 400-4 600</t>
  </si>
  <si>
    <t>Kalkylark för att beräkna NNK och NUK för förvärv</t>
  </si>
  <si>
    <t>Kalkylark för att beräkna NNK och NUK för bullervall som skyddar hela bostadsfasaden</t>
  </si>
  <si>
    <t>Kalkylark för att beräkna NNK och NUK för fasadåtgärder för inomhusbuller</t>
  </si>
  <si>
    <t>Kalkylark för att beräkna NNK och NUK för fasadåtgärd och åtgärder för del av utemiljön</t>
  </si>
  <si>
    <t>Kalkylark för att beräkna NNK och NUK för bullerskärm som skyddar hela utemiljön och hela eller del av fasaden</t>
  </si>
  <si>
    <t>Samhällsekonomiska kalkylverktyg och metoder - Bransch (trafikverket.se)</t>
  </si>
  <si>
    <t>Version: 2026.1</t>
  </si>
  <si>
    <t>Datum: Maj 2026</t>
  </si>
  <si>
    <t>Byggstartsår = diskonteringsår</t>
  </si>
  <si>
    <t>Utgift (Investering + underhåll)</t>
  </si>
  <si>
    <t>Skattefinansieringskostnad</t>
  </si>
  <si>
    <t>Nuvärde av restvärde</t>
  </si>
  <si>
    <t>Utgift (Investering)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</si>
</sst>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0\ &quot;kr&quot;;\-#,##0\ &quot;kr&quot;"/>
    <numFmt numFmtId="6" formatCode="#,##0\ &quot;kr&quot;;[Red]\-#,##0\ &quot;kr&quot;"/>
    <numFmt numFmtId="8" formatCode="#,##0.00\ &quot;kr&quot;;[Red]\-#,##0.00\ &quot;kr&quot;"/>
    <numFmt numFmtId="42" formatCode="_-* #,##0\ &quot;kr&quot;_-;\-* #,##0\ &quot;kr&quot;_-;_-* &quot;-&quot;\ &quot;kr&quot;_-;_-@_-"/>
    <numFmt numFmtId="44" formatCode="_-* #,##0.00\ &quot;kr&quot;_-;\-* #,##0.00\ &quot;kr&quot;_-;_-* &quot;-&quot;??\ &quot;kr&quot;_-;_-@_-"/>
    <numFmt numFmtId="164" formatCode="_-* #,##0.00\ _k_r_-;\-* #,##0.00\ _k_r_-;_-* &quot;-&quot;??\ _k_r_-;_-@_-"/>
    <numFmt numFmtId="165" formatCode="0.0"/>
    <numFmt numFmtId="166" formatCode="#,##0\ &quot;kr&quot;"/>
    <numFmt numFmtId="167" formatCode="_-* #,##0\ _k_r_-;\-* #,##0\ _k_r_-;_-* &quot;-&quot;??\ _k_r_-;_-@_-"/>
    <numFmt numFmtId="168" formatCode="#,##0_ ;\-#,##0\ "/>
    <numFmt numFmtId="169" formatCode="#,##0.0_ ;\-#,##0.0\ "/>
    <numFmt numFmtId="170" formatCode="#,##0\ _k_r"/>
    <numFmt numFmtId="171" formatCode="_-* #,##0\ &quot;kr&quot;_-;\-* #,##0\ &quot;kr&quot;_-;_-* &quot;-&quot;??\ &quot;kr&quot;_-;_-@_-"/>
    <numFmt numFmtId="172" formatCode="0.000"/>
    <numFmt numFmtId="173" formatCode="_-* #,##0.0\ _k_r_-;\-* #,##0.0\ _k_r_-;_-* &quot;-&quot;??\ _k_r_-;_-@_-"/>
    <numFmt numFmtId="174" formatCode="0.0000"/>
  </numFmts>
  <fonts count="68" x14ac:knownFonts="1">
    <font>
      <sz val="10"/>
      <name val="Arial"/>
    </font>
    <font>
      <sz val="11"/>
      <color theme="1"/>
      <name val="Calibri"/>
      <family val="2"/>
      <scheme val="minor"/>
    </font>
    <font>
      <sz val="10"/>
      <name val="Arial"/>
      <family val="2"/>
    </font>
    <font>
      <b/>
      <sz val="10"/>
      <name val="Arial"/>
      <family val="2"/>
    </font>
    <font>
      <sz val="14"/>
      <name val="Arial"/>
      <family val="2"/>
    </font>
    <font>
      <sz val="10"/>
      <name val="Arial"/>
      <family val="2"/>
    </font>
    <font>
      <sz val="10"/>
      <color indexed="10"/>
      <name val="Arial"/>
      <family val="2"/>
    </font>
    <font>
      <sz val="10"/>
      <color indexed="12"/>
      <name val="Arial"/>
      <family val="2"/>
    </font>
    <font>
      <vertAlign val="superscript"/>
      <sz val="10"/>
      <name val="Arial"/>
      <family val="2"/>
    </font>
    <font>
      <vertAlign val="subscript"/>
      <sz val="10"/>
      <name val="Arial"/>
      <family val="2"/>
    </font>
    <font>
      <sz val="10"/>
      <color indexed="44"/>
      <name val="Arial"/>
      <family val="2"/>
    </font>
    <font>
      <sz val="10"/>
      <color indexed="23"/>
      <name val="Arial"/>
      <family val="2"/>
    </font>
    <font>
      <b/>
      <i/>
      <sz val="10"/>
      <name val="Arial"/>
      <family val="2"/>
    </font>
    <font>
      <sz val="12"/>
      <color indexed="8"/>
      <name val="Arial"/>
      <family val="2"/>
    </font>
    <font>
      <b/>
      <sz val="10"/>
      <color theme="0"/>
      <name val="Arial"/>
      <family val="2"/>
    </font>
    <font>
      <sz val="10"/>
      <color theme="0"/>
      <name val="Arial"/>
      <family val="2"/>
    </font>
    <font>
      <b/>
      <sz val="9"/>
      <name val="Arial"/>
      <family val="2"/>
    </font>
    <font>
      <sz val="9"/>
      <color indexed="81"/>
      <name val="Tahoma"/>
      <family val="2"/>
    </font>
    <font>
      <b/>
      <sz val="9"/>
      <color indexed="81"/>
      <name val="Tahoma"/>
      <family val="2"/>
    </font>
    <font>
      <sz val="14"/>
      <color rgb="FF92D050"/>
      <name val="Arial"/>
      <family val="2"/>
    </font>
    <font>
      <sz val="10"/>
      <color rgb="FF92D050"/>
      <name val="Arial"/>
      <family val="2"/>
    </font>
    <font>
      <b/>
      <sz val="10"/>
      <color rgb="FF92D050"/>
      <name val="Arial"/>
      <family val="2"/>
    </font>
    <font>
      <sz val="14"/>
      <color theme="0" tint="-0.499984740745262"/>
      <name val="Arial"/>
      <family val="2"/>
    </font>
    <font>
      <sz val="10"/>
      <color theme="0" tint="-0.499984740745262"/>
      <name val="Arial"/>
      <family val="2"/>
    </font>
    <font>
      <b/>
      <sz val="10"/>
      <color theme="0" tint="-0.499984740745262"/>
      <name val="Arial"/>
      <family val="2"/>
    </font>
    <font>
      <b/>
      <sz val="12"/>
      <name val="Arial"/>
      <family val="2"/>
    </font>
    <font>
      <sz val="12"/>
      <name val="Arial"/>
      <family val="2"/>
    </font>
    <font>
      <sz val="11"/>
      <color rgb="FF7030A0"/>
      <name val="Calibri"/>
      <family val="2"/>
    </font>
    <font>
      <u/>
      <sz val="10"/>
      <color theme="10"/>
      <name val="Arial"/>
      <family val="2"/>
    </font>
    <font>
      <sz val="10"/>
      <color theme="0" tint="-0.249977111117893"/>
      <name val="Arial"/>
      <family val="2"/>
    </font>
    <font>
      <sz val="10"/>
      <name val="Arial"/>
      <family val="2"/>
    </font>
    <font>
      <u/>
      <sz val="10"/>
      <name val="Arial"/>
      <family val="2"/>
    </font>
    <font>
      <b/>
      <sz val="14"/>
      <color theme="0"/>
      <name val="Arial"/>
      <family val="2"/>
    </font>
    <font>
      <b/>
      <sz val="14"/>
      <name val="Arial"/>
      <family val="2"/>
    </font>
    <font>
      <b/>
      <sz val="14"/>
      <color theme="0" tint="-0.499984740745262"/>
      <name val="Arial"/>
      <family val="2"/>
    </font>
    <font>
      <sz val="10"/>
      <color rgb="FF0070C0"/>
      <name val="Arial"/>
      <family val="2"/>
    </font>
    <font>
      <b/>
      <sz val="10"/>
      <color rgb="FFFF0000"/>
      <name val="Arial"/>
      <family val="2"/>
    </font>
    <font>
      <sz val="10"/>
      <color rgb="FFFF0000"/>
      <name val="Arial"/>
      <family val="2"/>
    </font>
    <font>
      <sz val="12"/>
      <color theme="0" tint="-0.499984740745262"/>
      <name val="Arial"/>
      <family val="2"/>
    </font>
    <font>
      <sz val="10"/>
      <color theme="0" tint="-0.14999847407452621"/>
      <name val="Arial"/>
      <family val="2"/>
    </font>
    <font>
      <sz val="10"/>
      <name val="Calibri"/>
      <family val="2"/>
    </font>
    <font>
      <b/>
      <sz val="16"/>
      <name val="Arial"/>
      <family val="2"/>
    </font>
    <font>
      <sz val="11"/>
      <color theme="1"/>
      <name val="Arial"/>
      <family val="2"/>
    </font>
    <font>
      <b/>
      <sz val="16"/>
      <color theme="1"/>
      <name val="Arial"/>
      <family val="2"/>
    </font>
    <font>
      <sz val="10"/>
      <color theme="1"/>
      <name val="Arial"/>
      <family val="2"/>
    </font>
    <font>
      <b/>
      <sz val="10"/>
      <color rgb="FFC00000"/>
      <name val="Arial"/>
      <family val="2"/>
    </font>
    <font>
      <b/>
      <sz val="10"/>
      <color theme="1"/>
      <name val="Arial"/>
      <family val="2"/>
    </font>
    <font>
      <b/>
      <sz val="11"/>
      <color theme="1"/>
      <name val="Calibri"/>
      <family val="2"/>
    </font>
    <font>
      <sz val="11"/>
      <color theme="1"/>
      <name val="Calibri"/>
      <family val="2"/>
    </font>
    <font>
      <u/>
      <sz val="10"/>
      <color theme="1"/>
      <name val="Arial"/>
      <family val="2"/>
    </font>
    <font>
      <vertAlign val="superscript"/>
      <sz val="10"/>
      <color theme="1"/>
      <name val="Arial"/>
      <family val="2"/>
    </font>
    <font>
      <strike/>
      <sz val="10"/>
      <color theme="1"/>
      <name val="Arial"/>
      <family val="2"/>
    </font>
    <font>
      <strike/>
      <sz val="11"/>
      <color rgb="FFFF0000"/>
      <name val="Calibri"/>
      <family val="2"/>
    </font>
    <font>
      <strike/>
      <sz val="10"/>
      <color rgb="FFFF0000"/>
      <name val="Arial"/>
      <family val="2"/>
    </font>
    <font>
      <strike/>
      <sz val="11"/>
      <color rgb="FFFF0000"/>
      <name val="Calibri"/>
      <family val="2"/>
      <scheme val="minor"/>
    </font>
    <font>
      <sz val="10"/>
      <color rgb="FF00B050"/>
      <name val="Arial"/>
      <family val="2"/>
    </font>
    <font>
      <sz val="14"/>
      <color rgb="FF1F497D"/>
      <name val="Calibri"/>
      <family val="2"/>
    </font>
    <font>
      <b/>
      <sz val="10"/>
      <name val="Georgia"/>
      <family val="1"/>
    </font>
    <font>
      <sz val="10"/>
      <name val="Georgia"/>
      <family val="1"/>
    </font>
    <font>
      <sz val="11"/>
      <color rgb="FFFF0000"/>
      <name val="Calibri"/>
      <family val="2"/>
    </font>
    <font>
      <sz val="12"/>
      <color rgb="FFFF0000"/>
      <name val="Arial"/>
      <family val="2"/>
    </font>
    <font>
      <sz val="10"/>
      <color theme="3"/>
      <name val="Arial"/>
      <family val="2"/>
    </font>
    <font>
      <strike/>
      <sz val="10"/>
      <color theme="3"/>
      <name val="Arial"/>
      <family val="2"/>
    </font>
    <font>
      <strike/>
      <sz val="11"/>
      <color theme="3"/>
      <name val="Calibri"/>
      <family val="2"/>
      <scheme val="minor"/>
    </font>
    <font>
      <sz val="11"/>
      <color theme="3"/>
      <name val="Calibri"/>
      <family val="2"/>
      <scheme val="minor"/>
    </font>
    <font>
      <sz val="10"/>
      <color theme="3" tint="-0.249977111117893"/>
      <name val="Arial"/>
      <family val="2"/>
    </font>
    <font>
      <sz val="10"/>
      <color theme="3" tint="-0.499984740745262"/>
      <name val="Arial"/>
      <family val="2"/>
    </font>
    <font>
      <sz val="10"/>
      <color theme="4" tint="-0.499984740745262"/>
      <name val="Arial"/>
      <family val="2"/>
    </font>
  </fonts>
  <fills count="21">
    <fill>
      <patternFill patternType="none"/>
    </fill>
    <fill>
      <patternFill patternType="gray125"/>
    </fill>
    <fill>
      <patternFill patternType="solid">
        <fgColor indexed="23"/>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rgb="FFFFFF99"/>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rgb="FFFAFD81"/>
        <bgColor indexed="64"/>
      </patternFill>
    </fill>
    <fill>
      <patternFill patternType="solid">
        <fgColor theme="8" tint="0.59999389629810485"/>
        <bgColor indexed="64"/>
      </patternFill>
    </fill>
    <fill>
      <patternFill patternType="solid">
        <fgColor rgb="FFFF0000"/>
        <bgColor indexed="64"/>
      </patternFill>
    </fill>
    <fill>
      <patternFill patternType="solid">
        <fgColor theme="3" tint="0.79998168889431442"/>
        <bgColor indexed="64"/>
      </patternFill>
    </fill>
    <fill>
      <patternFill patternType="solid">
        <fgColor theme="6"/>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rgb="FF99CCFF"/>
        <bgColor indexed="64"/>
      </patternFill>
    </fill>
  </fills>
  <borders count="9">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7">
    <xf numFmtId="0" fontId="0" fillId="0" borderId="0"/>
    <xf numFmtId="164" fontId="2" fillId="0" borderId="0" applyFont="0" applyFill="0" applyBorder="0" applyAlignment="0" applyProtection="0"/>
    <xf numFmtId="0" fontId="28" fillId="0" borderId="0" applyNumberFormat="0" applyFill="0" applyBorder="0" applyAlignment="0" applyProtection="0"/>
    <xf numFmtId="42" fontId="30" fillId="0" borderId="0" applyFont="0" applyFill="0" applyBorder="0" applyAlignment="0" applyProtection="0"/>
    <xf numFmtId="44" fontId="30" fillId="0" borderId="0" applyFont="0" applyFill="0" applyBorder="0" applyAlignment="0" applyProtection="0"/>
    <xf numFmtId="0" fontId="2" fillId="0" borderId="0"/>
    <xf numFmtId="0" fontId="1" fillId="0" borderId="0"/>
  </cellStyleXfs>
  <cellXfs count="359">
    <xf numFmtId="0" fontId="0" fillId="0" borderId="0" xfId="0"/>
    <xf numFmtId="0" fontId="3" fillId="0" borderId="0" xfId="0" applyFont="1"/>
    <xf numFmtId="0" fontId="3" fillId="2" borderId="0" xfId="0" applyFont="1" applyFill="1"/>
    <xf numFmtId="0" fontId="0" fillId="2" borderId="0" xfId="0" applyFill="1"/>
    <xf numFmtId="0" fontId="4" fillId="2" borderId="0" xfId="0" applyFont="1" applyFill="1"/>
    <xf numFmtId="0" fontId="4" fillId="0" borderId="0" xfId="0" applyFont="1"/>
    <xf numFmtId="0" fontId="3" fillId="3" borderId="0" xfId="0" applyFont="1" applyFill="1"/>
    <xf numFmtId="0" fontId="5" fillId="2" borderId="0" xfId="0" applyFont="1" applyFill="1"/>
    <xf numFmtId="0" fontId="5" fillId="0" borderId="0" xfId="0" applyFont="1"/>
    <xf numFmtId="0" fontId="4" fillId="4" borderId="0" xfId="0" applyFont="1" applyFill="1"/>
    <xf numFmtId="0" fontId="6" fillId="4" borderId="0" xfId="0" applyFont="1" applyFill="1"/>
    <xf numFmtId="0" fontId="5" fillId="4" borderId="0" xfId="0" applyFont="1" applyFill="1"/>
    <xf numFmtId="0" fontId="7" fillId="4" borderId="0" xfId="0" applyFont="1" applyFill="1"/>
    <xf numFmtId="0" fontId="6" fillId="2" borderId="0" xfId="0" applyFont="1" applyFill="1"/>
    <xf numFmtId="0" fontId="4" fillId="2" borderId="0" xfId="0" quotePrefix="1" applyFont="1" applyFill="1"/>
    <xf numFmtId="0" fontId="0" fillId="0" borderId="0" xfId="0" applyFill="1"/>
    <xf numFmtId="1" fontId="0" fillId="0" borderId="0" xfId="0" applyNumberFormat="1"/>
    <xf numFmtId="0" fontId="0" fillId="5" borderId="0" xfId="0" applyFill="1"/>
    <xf numFmtId="1" fontId="7" fillId="2" borderId="0" xfId="0" applyNumberFormat="1" applyFont="1" applyFill="1"/>
    <xf numFmtId="0" fontId="0" fillId="2" borderId="0" xfId="0" applyFill="1" applyAlignment="1">
      <alignment horizontal="right"/>
    </xf>
    <xf numFmtId="5" fontId="12" fillId="5" borderId="0" xfId="1" applyNumberFormat="1" applyFont="1" applyFill="1" applyAlignment="1">
      <alignment horizontal="center"/>
    </xf>
    <xf numFmtId="1" fontId="7" fillId="5" borderId="0" xfId="0" applyNumberFormat="1" applyFont="1" applyFill="1" applyAlignment="1">
      <alignment horizontal="center"/>
    </xf>
    <xf numFmtId="166" fontId="12" fillId="5" borderId="0" xfId="0" applyNumberFormat="1" applyFont="1" applyFill="1" applyAlignment="1">
      <alignment horizontal="center"/>
    </xf>
    <xf numFmtId="0" fontId="13" fillId="0" borderId="1" xfId="0" applyFont="1" applyBorder="1" applyAlignment="1">
      <alignment horizontal="center" vertical="top" wrapText="1"/>
    </xf>
    <xf numFmtId="0" fontId="13" fillId="0" borderId="0" xfId="0" applyFont="1" applyAlignment="1">
      <alignment horizontal="center" vertical="top" wrapText="1"/>
    </xf>
    <xf numFmtId="0" fontId="13" fillId="0" borderId="2" xfId="0" applyFont="1" applyBorder="1" applyAlignment="1">
      <alignment horizontal="center" vertical="top" wrapText="1"/>
    </xf>
    <xf numFmtId="0" fontId="13" fillId="0" borderId="0" xfId="0" applyFont="1" applyBorder="1" applyAlignment="1">
      <alignment horizontal="center" vertical="top" wrapText="1"/>
    </xf>
    <xf numFmtId="0" fontId="0" fillId="0" borderId="0" xfId="0" applyAlignment="1">
      <alignment horizontal="center"/>
    </xf>
    <xf numFmtId="0" fontId="0" fillId="0" borderId="0" xfId="0" applyBorder="1"/>
    <xf numFmtId="0" fontId="14" fillId="0" borderId="4" xfId="0" applyFont="1" applyBorder="1" applyAlignment="1">
      <alignment horizontal="center" vertical="top" wrapText="1"/>
    </xf>
    <xf numFmtId="0" fontId="2" fillId="0" borderId="0" xfId="0" applyFont="1" applyFill="1"/>
    <xf numFmtId="0" fontId="4" fillId="7" borderId="0" xfId="0" applyFont="1" applyFill="1"/>
    <xf numFmtId="0" fontId="5" fillId="7" borderId="0" xfId="0" applyFont="1" applyFill="1"/>
    <xf numFmtId="0" fontId="0" fillId="7" borderId="0" xfId="0" applyFill="1"/>
    <xf numFmtId="0" fontId="3" fillId="7" borderId="0" xfId="0" applyFont="1" applyFill="1"/>
    <xf numFmtId="0" fontId="2" fillId="0" borderId="0" xfId="0" applyFont="1"/>
    <xf numFmtId="0" fontId="19" fillId="7" borderId="0" xfId="0" applyFont="1" applyFill="1"/>
    <xf numFmtId="0" fontId="20" fillId="7" borderId="0" xfId="0" applyFont="1" applyFill="1"/>
    <xf numFmtId="0" fontId="21" fillId="7" borderId="0" xfId="0" applyFont="1" applyFill="1"/>
    <xf numFmtId="0" fontId="22" fillId="7" borderId="0" xfId="0" applyFont="1" applyFill="1"/>
    <xf numFmtId="0" fontId="23" fillId="7" borderId="0" xfId="0" applyFont="1" applyFill="1"/>
    <xf numFmtId="0" fontId="24" fillId="7" borderId="0" xfId="0" applyFont="1" applyFill="1"/>
    <xf numFmtId="2" fontId="23" fillId="7" borderId="0" xfId="0" applyNumberFormat="1" applyFont="1" applyFill="1"/>
    <xf numFmtId="0" fontId="2" fillId="0" borderId="3" xfId="0" applyFont="1" applyFill="1" applyBorder="1" applyAlignment="1">
      <alignment horizontal="center"/>
    </xf>
    <xf numFmtId="1" fontId="2" fillId="0" borderId="3" xfId="0" applyNumberFormat="1" applyFont="1" applyFill="1" applyBorder="1" applyAlignment="1">
      <alignment horizontal="center"/>
    </xf>
    <xf numFmtId="0" fontId="2" fillId="2" borderId="0" xfId="0" applyFont="1" applyFill="1"/>
    <xf numFmtId="0" fontId="0" fillId="8" borderId="0" xfId="0" applyFill="1"/>
    <xf numFmtId="0" fontId="2" fillId="8" borderId="0" xfId="0" applyFont="1" applyFill="1"/>
    <xf numFmtId="14" fontId="0" fillId="8" borderId="0" xfId="0" applyNumberFormat="1" applyFill="1"/>
    <xf numFmtId="0" fontId="2" fillId="8" borderId="0" xfId="0" applyFont="1" applyFill="1" applyAlignment="1">
      <alignment horizontal="right"/>
    </xf>
    <xf numFmtId="0" fontId="0" fillId="8" borderId="0" xfId="0" applyFill="1" applyAlignment="1">
      <alignment horizontal="right"/>
    </xf>
    <xf numFmtId="0" fontId="25" fillId="9" borderId="0" xfId="0" applyFont="1" applyFill="1"/>
    <xf numFmtId="0" fontId="0" fillId="9" borderId="0" xfId="0" applyFill="1"/>
    <xf numFmtId="0" fontId="0" fillId="0" borderId="3" xfId="0" applyFill="1" applyBorder="1"/>
    <xf numFmtId="0" fontId="2" fillId="0" borderId="3" xfId="0" applyFont="1" applyFill="1" applyBorder="1"/>
    <xf numFmtId="0" fontId="2" fillId="7" borderId="0" xfId="0" applyFont="1" applyFill="1"/>
    <xf numFmtId="0" fontId="23" fillId="0" borderId="0" xfId="0" applyFont="1" applyFill="1"/>
    <xf numFmtId="0" fontId="29" fillId="0" borderId="0" xfId="0" applyFont="1"/>
    <xf numFmtId="167" fontId="2" fillId="0" borderId="0" xfId="1" applyNumberFormat="1" applyFont="1" applyFill="1" applyAlignment="1">
      <alignment horizontal="right" indent="1"/>
    </xf>
    <xf numFmtId="167" fontId="0" fillId="0" borderId="0" xfId="1" applyNumberFormat="1" applyFont="1" applyAlignment="1">
      <alignment horizontal="right" indent="1"/>
    </xf>
    <xf numFmtId="0" fontId="2" fillId="10" borderId="0" xfId="0" applyFont="1" applyFill="1"/>
    <xf numFmtId="0" fontId="0" fillId="12" borderId="0" xfId="0" applyFill="1"/>
    <xf numFmtId="0" fontId="31" fillId="10" borderId="0" xfId="2" applyFont="1" applyFill="1"/>
    <xf numFmtId="0" fontId="32" fillId="11" borderId="0" xfId="0" applyFont="1" applyFill="1"/>
    <xf numFmtId="0" fontId="32" fillId="7" borderId="0" xfId="0" applyFont="1" applyFill="1"/>
    <xf numFmtId="0" fontId="29" fillId="7" borderId="0" xfId="0" applyFont="1" applyFill="1"/>
    <xf numFmtId="0" fontId="2" fillId="12" borderId="0" xfId="0" applyFont="1" applyFill="1"/>
    <xf numFmtId="0" fontId="33" fillId="9" borderId="0" xfId="0" applyFont="1" applyFill="1"/>
    <xf numFmtId="0" fontId="25" fillId="7" borderId="0" xfId="0" applyFont="1" applyFill="1"/>
    <xf numFmtId="0" fontId="25" fillId="11" borderId="0" xfId="0" applyFont="1" applyFill="1"/>
    <xf numFmtId="167" fontId="0" fillId="0" borderId="0" xfId="1" applyNumberFormat="1" applyFont="1" applyFill="1" applyAlignment="1">
      <alignment horizontal="right" indent="1"/>
    </xf>
    <xf numFmtId="0" fontId="4" fillId="12" borderId="0" xfId="0" applyFont="1" applyFill="1"/>
    <xf numFmtId="0" fontId="6" fillId="12" borderId="0" xfId="0" applyFont="1" applyFill="1"/>
    <xf numFmtId="0" fontId="5" fillId="12" borderId="0" xfId="0" applyFont="1" applyFill="1"/>
    <xf numFmtId="0" fontId="7" fillId="12" borderId="0" xfId="0" applyFont="1" applyFill="1"/>
    <xf numFmtId="2" fontId="7" fillId="12" borderId="0" xfId="0" applyNumberFormat="1" applyFont="1" applyFill="1"/>
    <xf numFmtId="1" fontId="2" fillId="12" borderId="0" xfId="0" applyNumberFormat="1" applyFont="1" applyFill="1"/>
    <xf numFmtId="0" fontId="37" fillId="2" borderId="0" xfId="0" applyFont="1" applyFill="1"/>
    <xf numFmtId="1" fontId="2" fillId="0" borderId="0" xfId="0" applyNumberFormat="1" applyFont="1"/>
    <xf numFmtId="167" fontId="0" fillId="12" borderId="0" xfId="1" applyNumberFormat="1" applyFont="1" applyFill="1" applyAlignment="1">
      <alignment horizontal="right" indent="1"/>
    </xf>
    <xf numFmtId="167" fontId="2" fillId="12" borderId="0" xfId="1" applyNumberFormat="1" applyFont="1" applyFill="1" applyAlignment="1">
      <alignment horizontal="right" indent="1"/>
    </xf>
    <xf numFmtId="1" fontId="0" fillId="12" borderId="0" xfId="0" applyNumberFormat="1" applyFill="1"/>
    <xf numFmtId="0" fontId="10" fillId="12" borderId="0" xfId="0" applyFont="1" applyFill="1"/>
    <xf numFmtId="0" fontId="0" fillId="2" borderId="0" xfId="0" applyFill="1" applyAlignment="1">
      <alignment vertical="top"/>
    </xf>
    <xf numFmtId="0" fontId="0" fillId="7" borderId="0" xfId="0" applyFill="1" applyAlignment="1">
      <alignment vertical="top"/>
    </xf>
    <xf numFmtId="0" fontId="0" fillId="0" borderId="0" xfId="0" applyAlignment="1">
      <alignment vertical="top"/>
    </xf>
    <xf numFmtId="0" fontId="6" fillId="7" borderId="0" xfId="0" applyFont="1" applyFill="1"/>
    <xf numFmtId="0" fontId="26" fillId="0" borderId="0" xfId="0" applyFont="1"/>
    <xf numFmtId="0" fontId="26" fillId="7" borderId="0" xfId="0" applyFont="1" applyFill="1"/>
    <xf numFmtId="0" fontId="37" fillId="7" borderId="0" xfId="0" applyFont="1" applyFill="1"/>
    <xf numFmtId="172" fontId="23" fillId="7" borderId="0" xfId="0" applyNumberFormat="1" applyFont="1" applyFill="1"/>
    <xf numFmtId="0" fontId="0" fillId="7" borderId="0" xfId="0" applyFill="1" applyAlignment="1">
      <alignment horizontal="right"/>
    </xf>
    <xf numFmtId="0" fontId="23" fillId="7" borderId="0" xfId="0" applyFont="1" applyFill="1" applyAlignment="1">
      <alignment horizontal="right"/>
    </xf>
    <xf numFmtId="0" fontId="36" fillId="7" borderId="0" xfId="0" applyFont="1" applyFill="1"/>
    <xf numFmtId="0" fontId="3" fillId="0" borderId="0" xfId="0" applyFont="1" applyFill="1" applyBorder="1" applyAlignment="1">
      <alignment horizontal="center" vertical="top" wrapText="1"/>
    </xf>
    <xf numFmtId="0" fontId="16" fillId="0" borderId="0" xfId="0" applyFont="1" applyFill="1" applyBorder="1" applyAlignment="1">
      <alignment horizontal="right" vertical="top"/>
    </xf>
    <xf numFmtId="0" fontId="2" fillId="0" borderId="0" xfId="0" applyFont="1" applyFill="1" applyBorder="1" applyAlignment="1">
      <alignment horizontal="center"/>
    </xf>
    <xf numFmtId="1" fontId="2" fillId="0" borderId="0" xfId="0" applyNumberFormat="1" applyFont="1" applyFill="1" applyBorder="1"/>
    <xf numFmtId="1" fontId="2" fillId="0" borderId="0" xfId="0" applyNumberFormat="1" applyFont="1" applyFill="1" applyBorder="1" applyAlignment="1">
      <alignment horizontal="center"/>
    </xf>
    <xf numFmtId="0" fontId="15" fillId="0" borderId="3" xfId="0" applyFont="1" applyBorder="1" applyAlignment="1">
      <alignment horizontal="center"/>
    </xf>
    <xf numFmtId="0" fontId="0" fillId="0" borderId="3" xfId="0" applyBorder="1"/>
    <xf numFmtId="0" fontId="14" fillId="0" borderId="6" xfId="0" applyFont="1" applyBorder="1" applyAlignment="1">
      <alignment horizontal="right" vertical="top"/>
    </xf>
    <xf numFmtId="0" fontId="15" fillId="0" borderId="6" xfId="0" applyFont="1" applyBorder="1" applyAlignment="1">
      <alignment horizontal="center"/>
    </xf>
    <xf numFmtId="1" fontId="15" fillId="0" borderId="6" xfId="0" applyNumberFormat="1" applyFont="1" applyBorder="1" applyAlignment="1">
      <alignment horizontal="center"/>
    </xf>
    <xf numFmtId="0" fontId="0" fillId="0" borderId="0"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167" fontId="35" fillId="12" borderId="0" xfId="1" applyNumberFormat="1" applyFont="1" applyFill="1" applyAlignment="1">
      <alignment horizontal="right" indent="1"/>
    </xf>
    <xf numFmtId="0" fontId="39" fillId="0" borderId="0" xfId="0" applyFont="1"/>
    <xf numFmtId="1" fontId="39" fillId="0" borderId="0" xfId="0" applyNumberFormat="1" applyFont="1"/>
    <xf numFmtId="173" fontId="0" fillId="0" borderId="0" xfId="1" applyNumberFormat="1" applyFont="1" applyAlignment="1">
      <alignment horizontal="right" indent="1"/>
    </xf>
    <xf numFmtId="173" fontId="2" fillId="0" borderId="0" xfId="1" applyNumberFormat="1" applyFont="1" applyFill="1" applyAlignment="1">
      <alignment horizontal="right" indent="1"/>
    </xf>
    <xf numFmtId="165" fontId="0" fillId="0" borderId="0" xfId="0" applyNumberFormat="1"/>
    <xf numFmtId="165" fontId="2" fillId="0" borderId="0" xfId="0" applyNumberFormat="1" applyFont="1" applyFill="1"/>
    <xf numFmtId="165" fontId="5" fillId="0" borderId="0" xfId="0" applyNumberFormat="1" applyFont="1" applyFill="1"/>
    <xf numFmtId="1" fontId="5" fillId="0" borderId="0" xfId="0" applyNumberFormat="1" applyFont="1" applyFill="1"/>
    <xf numFmtId="1" fontId="2" fillId="0" borderId="0" xfId="0" applyNumberFormat="1" applyFont="1" applyFill="1"/>
    <xf numFmtId="5" fontId="0" fillId="7" borderId="0" xfId="0" applyNumberFormat="1" applyFill="1"/>
    <xf numFmtId="0" fontId="23" fillId="7" borderId="0" xfId="0" applyFont="1" applyFill="1" applyAlignment="1">
      <alignment horizontal="right" vertical="top" wrapText="1"/>
    </xf>
    <xf numFmtId="0" fontId="3" fillId="6" borderId="0" xfId="0" applyFont="1" applyFill="1"/>
    <xf numFmtId="0" fontId="25" fillId="15" borderId="0" xfId="0" applyFont="1" applyFill="1" applyAlignment="1">
      <alignment horizontal="right"/>
    </xf>
    <xf numFmtId="0" fontId="41" fillId="0" borderId="0" xfId="5" applyFont="1"/>
    <xf numFmtId="0" fontId="42" fillId="0" borderId="0" xfId="0" applyFont="1"/>
    <xf numFmtId="0" fontId="43" fillId="0" borderId="0" xfId="5" applyFont="1"/>
    <xf numFmtId="0" fontId="44" fillId="0" borderId="0" xfId="0" applyFont="1"/>
    <xf numFmtId="0" fontId="3" fillId="0" borderId="0" xfId="5" applyFont="1"/>
    <xf numFmtId="0" fontId="2" fillId="0" borderId="0" xfId="5" applyFont="1"/>
    <xf numFmtId="0" fontId="2" fillId="0" borderId="0" xfId="5" applyFont="1" applyAlignment="1">
      <alignment horizontal="left"/>
    </xf>
    <xf numFmtId="0" fontId="42" fillId="0" borderId="7" xfId="0" applyFont="1" applyBorder="1"/>
    <xf numFmtId="0" fontId="3" fillId="0" borderId="3" xfId="5" applyFont="1" applyBorder="1"/>
    <xf numFmtId="0" fontId="2" fillId="0" borderId="3" xfId="5" applyFont="1" applyBorder="1"/>
    <xf numFmtId="0" fontId="2" fillId="0" borderId="3" xfId="5" applyFont="1" applyFill="1" applyBorder="1" applyAlignment="1">
      <alignment horizontal="center"/>
    </xf>
    <xf numFmtId="0" fontId="2" fillId="0" borderId="0" xfId="5" applyFont="1" applyBorder="1"/>
    <xf numFmtId="0" fontId="2" fillId="0" borderId="0" xfId="5" applyFont="1" applyFill="1" applyBorder="1" applyAlignment="1">
      <alignment horizontal="center"/>
    </xf>
    <xf numFmtId="0" fontId="45" fillId="0" borderId="0" xfId="0" applyFont="1"/>
    <xf numFmtId="0" fontId="3" fillId="0" borderId="0" xfId="5" applyFont="1" applyFill="1"/>
    <xf numFmtId="0" fontId="46" fillId="0" borderId="0" xfId="0" applyFont="1"/>
    <xf numFmtId="0" fontId="2" fillId="0" borderId="0" xfId="5" applyFont="1" applyFill="1"/>
    <xf numFmtId="0" fontId="44" fillId="0" borderId="0" xfId="0" applyFont="1" applyFill="1"/>
    <xf numFmtId="0" fontId="2" fillId="0" borderId="0" xfId="5" applyFont="1" applyFill="1" applyAlignment="1">
      <alignment horizontal="left"/>
    </xf>
    <xf numFmtId="0" fontId="42" fillId="0" borderId="0" xfId="0" applyFont="1" applyFill="1"/>
    <xf numFmtId="0" fontId="2" fillId="0" borderId="0" xfId="5" applyFont="1" applyAlignment="1">
      <alignment horizontal="center"/>
    </xf>
    <xf numFmtId="0" fontId="3" fillId="0" borderId="3" xfId="5" applyFont="1" applyBorder="1" applyAlignment="1">
      <alignment horizontal="center"/>
    </xf>
    <xf numFmtId="0" fontId="2" fillId="0" borderId="3" xfId="5" applyFont="1" applyFill="1" applyBorder="1" applyAlignment="1">
      <alignment wrapText="1"/>
    </xf>
    <xf numFmtId="0" fontId="44" fillId="0" borderId="3" xfId="0" applyFont="1" applyFill="1" applyBorder="1"/>
    <xf numFmtId="0" fontId="25" fillId="0" borderId="0" xfId="0" applyFont="1" applyFill="1"/>
    <xf numFmtId="0" fontId="25" fillId="9" borderId="0" xfId="6" applyFont="1" applyFill="1"/>
    <xf numFmtId="0" fontId="2" fillId="9" borderId="0" xfId="0" applyFont="1" applyFill="1"/>
    <xf numFmtId="0" fontId="25" fillId="0" borderId="0" xfId="6" applyFont="1" applyFill="1"/>
    <xf numFmtId="0" fontId="47" fillId="0" borderId="0" xfId="0" applyFont="1" applyFill="1" applyAlignment="1">
      <alignment vertical="center"/>
    </xf>
    <xf numFmtId="0" fontId="48" fillId="0" borderId="0" xfId="0" applyFont="1" applyFill="1" applyAlignment="1">
      <alignment horizontal="center" vertical="center"/>
    </xf>
    <xf numFmtId="6" fontId="48" fillId="0" borderId="0" xfId="0" applyNumberFormat="1" applyFont="1" applyFill="1" applyAlignment="1">
      <alignment horizontal="right" vertical="center"/>
    </xf>
    <xf numFmtId="0" fontId="48" fillId="0" borderId="0" xfId="0" applyFont="1" applyFill="1" applyAlignment="1">
      <alignment vertical="center"/>
    </xf>
    <xf numFmtId="0" fontId="44" fillId="0" borderId="0" xfId="0" applyFont="1" applyFill="1" applyAlignment="1"/>
    <xf numFmtId="0" fontId="44" fillId="0" borderId="0" xfId="0" applyFont="1" applyFill="1" applyAlignment="1">
      <alignment horizontal="center"/>
    </xf>
    <xf numFmtId="6" fontId="44" fillId="0" borderId="0" xfId="0" applyNumberFormat="1" applyFont="1" applyFill="1" applyAlignment="1">
      <alignment horizontal="right"/>
    </xf>
    <xf numFmtId="0" fontId="48" fillId="0" borderId="0" xfId="0" applyFont="1" applyFill="1" applyAlignment="1"/>
    <xf numFmtId="0" fontId="25" fillId="0" borderId="0" xfId="6" applyFont="1" applyFill="1" applyAlignment="1"/>
    <xf numFmtId="0" fontId="2" fillId="0" borderId="0" xfId="0" applyFont="1" applyFill="1" applyAlignment="1"/>
    <xf numFmtId="0" fontId="2" fillId="0" borderId="0" xfId="0" applyFont="1" applyAlignment="1"/>
    <xf numFmtId="6" fontId="46" fillId="0" borderId="0" xfId="0" applyNumberFormat="1" applyFont="1" applyFill="1" applyAlignment="1">
      <alignment horizontal="right"/>
    </xf>
    <xf numFmtId="0" fontId="44" fillId="0" borderId="0" xfId="0" applyFont="1" applyAlignment="1"/>
    <xf numFmtId="0" fontId="2" fillId="0" borderId="0" xfId="6" applyFont="1" applyAlignment="1"/>
    <xf numFmtId="0" fontId="44" fillId="0" borderId="0" xfId="0" applyFont="1" applyFill="1" applyAlignment="1">
      <alignment vertical="center"/>
    </xf>
    <xf numFmtId="6" fontId="46" fillId="0" borderId="0" xfId="0" applyNumberFormat="1" applyFont="1" applyFill="1" applyAlignment="1">
      <alignment horizontal="right" vertical="center"/>
    </xf>
    <xf numFmtId="0" fontId="2" fillId="0" borderId="0" xfId="6" applyFont="1"/>
    <xf numFmtId="0" fontId="49" fillId="0" borderId="0" xfId="0" applyFont="1" applyFill="1" applyAlignment="1"/>
    <xf numFmtId="0" fontId="44" fillId="0" borderId="0" xfId="0" applyFont="1" applyFill="1" applyAlignment="1">
      <alignment horizontal="left"/>
    </xf>
    <xf numFmtId="6" fontId="44" fillId="0" borderId="0" xfId="0" applyNumberFormat="1" applyFont="1" applyFill="1" applyAlignment="1">
      <alignment horizontal="left"/>
    </xf>
    <xf numFmtId="0" fontId="1" fillId="0" borderId="0" xfId="0" applyFont="1" applyFill="1" applyAlignment="1">
      <alignment horizontal="left"/>
    </xf>
    <xf numFmtId="0" fontId="51" fillId="0" borderId="0" xfId="0" applyFont="1" applyFill="1" applyAlignment="1">
      <alignment horizontal="left"/>
    </xf>
    <xf numFmtId="0" fontId="52" fillId="0" borderId="0" xfId="0" applyFont="1" applyFill="1" applyAlignment="1"/>
    <xf numFmtId="0" fontId="53" fillId="0" borderId="0" xfId="0" applyFont="1" applyAlignment="1"/>
    <xf numFmtId="0" fontId="53" fillId="0" borderId="0" xfId="0" applyFont="1" applyFill="1" applyAlignment="1"/>
    <xf numFmtId="0" fontId="2" fillId="0" borderId="0" xfId="0" applyFont="1" applyFill="1" applyAlignment="1">
      <alignment vertical="center"/>
    </xf>
    <xf numFmtId="0" fontId="52" fillId="0" borderId="0" xfId="0" applyFont="1" applyFill="1" applyAlignment="1">
      <alignment vertical="center"/>
    </xf>
    <xf numFmtId="0" fontId="54" fillId="0" borderId="0" xfId="0" applyFont="1" applyFill="1" applyAlignment="1">
      <alignment horizontal="left"/>
    </xf>
    <xf numFmtId="0" fontId="53" fillId="0" borderId="0" xfId="0" applyFont="1"/>
    <xf numFmtId="0" fontId="53" fillId="0" borderId="0" xfId="0" applyFont="1" applyFill="1"/>
    <xf numFmtId="0" fontId="3" fillId="0" borderId="0" xfId="6" applyFont="1"/>
    <xf numFmtId="0" fontId="2" fillId="0" borderId="0" xfId="6" applyFont="1" applyFill="1"/>
    <xf numFmtId="0" fontId="2" fillId="0" borderId="0" xfId="6" applyFont="1" applyFill="1" applyAlignment="1">
      <alignment horizontal="center"/>
    </xf>
    <xf numFmtId="0" fontId="55" fillId="0" borderId="0" xfId="6" applyFont="1"/>
    <xf numFmtId="0" fontId="55" fillId="0" borderId="0" xfId="0" applyFont="1" applyFill="1"/>
    <xf numFmtId="0" fontId="27" fillId="0" borderId="0" xfId="0" applyFont="1" applyFill="1" applyAlignment="1">
      <alignment horizontal="center" vertical="center"/>
    </xf>
    <xf numFmtId="6" fontId="27" fillId="0" borderId="0" xfId="0" applyNumberFormat="1" applyFont="1" applyFill="1" applyAlignment="1">
      <alignment horizontal="right" vertical="center"/>
    </xf>
    <xf numFmtId="0" fontId="27" fillId="0" borderId="0" xfId="0" applyFont="1" applyFill="1" applyAlignment="1">
      <alignment vertical="center"/>
    </xf>
    <xf numFmtId="0" fontId="4" fillId="17" borderId="0" xfId="0" applyFont="1" applyFill="1"/>
    <xf numFmtId="0" fontId="57" fillId="16" borderId="3" xfId="0" applyFont="1" applyFill="1" applyBorder="1" applyAlignment="1">
      <alignment horizontal="center" vertical="center"/>
    </xf>
    <xf numFmtId="0" fontId="4" fillId="18" borderId="0" xfId="0" applyFont="1" applyFill="1"/>
    <xf numFmtId="1" fontId="7" fillId="12" borderId="0" xfId="0" applyNumberFormat="1" applyFont="1" applyFill="1"/>
    <xf numFmtId="0" fontId="2" fillId="12" borderId="3" xfId="0" applyFont="1" applyFill="1" applyBorder="1" applyAlignment="1">
      <alignment horizontal="center" vertical="center"/>
    </xf>
    <xf numFmtId="0" fontId="2" fillId="12" borderId="3" xfId="0" applyFont="1" applyFill="1" applyBorder="1" applyAlignment="1">
      <alignment horizontal="center" wrapText="1"/>
    </xf>
    <xf numFmtId="0" fontId="0" fillId="12" borderId="3" xfId="0" applyFill="1" applyBorder="1" applyAlignment="1">
      <alignment horizontal="center" wrapText="1"/>
    </xf>
    <xf numFmtId="0" fontId="23" fillId="16" borderId="0" xfId="0" applyFont="1" applyFill="1"/>
    <xf numFmtId="0" fontId="24" fillId="16" borderId="0" xfId="0" applyFont="1" applyFill="1"/>
    <xf numFmtId="0" fontId="3" fillId="16" borderId="0" xfId="0" applyFont="1" applyFill="1"/>
    <xf numFmtId="0" fontId="0" fillId="16" borderId="0" xfId="0" applyFill="1"/>
    <xf numFmtId="0" fontId="2" fillId="16" borderId="0" xfId="0" applyFont="1" applyFill="1"/>
    <xf numFmtId="0" fontId="23" fillId="16" borderId="0" xfId="0" applyFont="1" applyFill="1" applyAlignment="1">
      <alignment horizontal="right" wrapText="1"/>
    </xf>
    <xf numFmtId="2" fontId="23" fillId="16" borderId="0" xfId="0" applyNumberFormat="1" applyFont="1" applyFill="1"/>
    <xf numFmtId="0" fontId="37" fillId="16" borderId="0" xfId="0" applyFont="1" applyFill="1"/>
    <xf numFmtId="0" fontId="20" fillId="16" borderId="0" xfId="0" applyFont="1" applyFill="1"/>
    <xf numFmtId="0" fontId="21" fillId="16" borderId="0" xfId="0" applyFont="1" applyFill="1"/>
    <xf numFmtId="8" fontId="0" fillId="2" borderId="0" xfId="0" applyNumberFormat="1" applyFill="1"/>
    <xf numFmtId="3" fontId="58" fillId="19" borderId="3" xfId="1" applyNumberFormat="1" applyFont="1" applyFill="1" applyBorder="1" applyAlignment="1">
      <alignment horizontal="center" vertical="center"/>
    </xf>
    <xf numFmtId="3" fontId="58" fillId="19" borderId="8" xfId="1" applyNumberFormat="1" applyFont="1" applyFill="1" applyBorder="1" applyAlignment="1">
      <alignment horizontal="center" vertical="center"/>
    </xf>
    <xf numFmtId="3" fontId="58" fillId="19" borderId="3" xfId="1" applyNumberFormat="1" applyFont="1" applyFill="1" applyBorder="1" applyAlignment="1">
      <alignment horizontal="right" vertical="center"/>
    </xf>
    <xf numFmtId="1" fontId="0" fillId="19" borderId="3" xfId="0" applyNumberFormat="1" applyFill="1" applyBorder="1"/>
    <xf numFmtId="0" fontId="59" fillId="0" borderId="0" xfId="0" applyFont="1" applyFill="1" applyAlignment="1"/>
    <xf numFmtId="0" fontId="0" fillId="12" borderId="3" xfId="0" applyFill="1" applyBorder="1"/>
    <xf numFmtId="20" fontId="0" fillId="12" borderId="3" xfId="0" applyNumberFormat="1" applyFill="1" applyBorder="1"/>
    <xf numFmtId="0" fontId="2" fillId="12" borderId="3" xfId="0" applyFont="1" applyFill="1" applyBorder="1" applyAlignment="1">
      <alignment vertical="top"/>
    </xf>
    <xf numFmtId="0" fontId="2" fillId="12" borderId="3" xfId="0" applyFont="1" applyFill="1" applyBorder="1"/>
    <xf numFmtId="6" fontId="12" fillId="12" borderId="3" xfId="0" applyNumberFormat="1" applyFont="1" applyFill="1" applyBorder="1" applyAlignment="1">
      <alignment horizontal="right" wrapText="1"/>
    </xf>
    <xf numFmtId="5" fontId="12" fillId="12" borderId="3" xfId="1" applyNumberFormat="1" applyFont="1" applyFill="1" applyBorder="1" applyAlignment="1">
      <alignment horizontal="right"/>
    </xf>
    <xf numFmtId="0" fontId="0" fillId="12" borderId="3" xfId="0" applyFill="1" applyBorder="1" applyAlignment="1">
      <alignment wrapText="1"/>
    </xf>
    <xf numFmtId="166" fontId="12" fillId="12" borderId="3" xfId="0" applyNumberFormat="1" applyFont="1" applyFill="1" applyBorder="1" applyAlignment="1">
      <alignment horizontal="right"/>
    </xf>
    <xf numFmtId="166" fontId="12" fillId="12" borderId="3" xfId="1" applyNumberFormat="1" applyFont="1" applyFill="1" applyBorder="1" applyAlignment="1">
      <alignment horizontal="center"/>
    </xf>
    <xf numFmtId="0" fontId="2" fillId="12" borderId="3" xfId="0" applyFont="1" applyFill="1" applyBorder="1" applyAlignment="1">
      <alignment wrapText="1"/>
    </xf>
    <xf numFmtId="166" fontId="3" fillId="12" borderId="3" xfId="0" applyNumberFormat="1" applyFont="1" applyFill="1" applyBorder="1" applyAlignment="1">
      <alignment horizontal="center"/>
    </xf>
    <xf numFmtId="166" fontId="12" fillId="12" borderId="3" xfId="1" applyNumberFormat="1" applyFont="1" applyFill="1" applyBorder="1" applyAlignment="1"/>
    <xf numFmtId="166" fontId="3" fillId="12" borderId="3" xfId="0" applyNumberFormat="1" applyFont="1" applyFill="1" applyBorder="1" applyAlignment="1">
      <alignment horizontal="right"/>
    </xf>
    <xf numFmtId="171" fontId="3" fillId="12" borderId="3" xfId="4" applyNumberFormat="1" applyFont="1" applyFill="1" applyBorder="1" applyAlignment="1">
      <alignment horizontal="center"/>
    </xf>
    <xf numFmtId="171" fontId="3" fillId="12" borderId="3" xfId="4" applyNumberFormat="1" applyFont="1" applyFill="1" applyBorder="1" applyAlignment="1">
      <alignment horizontal="right"/>
    </xf>
    <xf numFmtId="0" fontId="0" fillId="12" borderId="3" xfId="0" applyFill="1" applyBorder="1" applyAlignment="1"/>
    <xf numFmtId="0" fontId="7" fillId="12" borderId="3" xfId="0" applyFont="1" applyFill="1" applyBorder="1" applyAlignment="1">
      <alignment horizontal="right"/>
    </xf>
    <xf numFmtId="0" fontId="7" fillId="12" borderId="3" xfId="0" applyFont="1" applyFill="1" applyBorder="1"/>
    <xf numFmtId="2" fontId="7" fillId="12" borderId="3" xfId="0" applyNumberFormat="1" applyFont="1" applyFill="1" applyBorder="1"/>
    <xf numFmtId="1" fontId="7" fillId="12" borderId="3" xfId="0" applyNumberFormat="1" applyFont="1" applyFill="1" applyBorder="1"/>
    <xf numFmtId="1" fontId="2" fillId="12" borderId="3" xfId="0" applyNumberFormat="1" applyFont="1" applyFill="1" applyBorder="1"/>
    <xf numFmtId="167" fontId="2" fillId="0" borderId="3" xfId="1" applyNumberFormat="1" applyFont="1" applyFill="1" applyBorder="1" applyAlignment="1">
      <alignment horizontal="right" indent="1"/>
    </xf>
    <xf numFmtId="167" fontId="2" fillId="12" borderId="3" xfId="1" applyNumberFormat="1" applyFont="1" applyFill="1" applyBorder="1" applyAlignment="1">
      <alignment horizontal="right" indent="1"/>
    </xf>
    <xf numFmtId="167" fontId="0" fillId="0" borderId="3" xfId="1" applyNumberFormat="1" applyFont="1" applyFill="1" applyBorder="1" applyAlignment="1">
      <alignment horizontal="right" indent="1"/>
    </xf>
    <xf numFmtId="167" fontId="7" fillId="12" borderId="3" xfId="1" applyNumberFormat="1" applyFont="1" applyFill="1" applyBorder="1" applyAlignment="1">
      <alignment horizontal="right" indent="1"/>
    </xf>
    <xf numFmtId="167" fontId="0" fillId="0" borderId="3" xfId="1" applyNumberFormat="1" applyFont="1" applyFill="1" applyBorder="1" applyAlignment="1"/>
    <xf numFmtId="167" fontId="5" fillId="0" borderId="3" xfId="1" applyNumberFormat="1" applyFont="1" applyFill="1" applyBorder="1" applyAlignment="1"/>
    <xf numFmtId="5" fontId="12" fillId="12" borderId="3" xfId="1" applyNumberFormat="1" applyFont="1" applyFill="1" applyBorder="1" applyAlignment="1">
      <alignment horizontal="center"/>
    </xf>
    <xf numFmtId="0" fontId="2" fillId="12" borderId="3" xfId="0" applyFont="1" applyFill="1" applyBorder="1" applyAlignment="1">
      <alignment horizontal="center" vertical="top" wrapText="1"/>
    </xf>
    <xf numFmtId="166" fontId="12" fillId="12" borderId="3" xfId="0" applyNumberFormat="1" applyFont="1" applyFill="1" applyBorder="1" applyAlignment="1">
      <alignment horizontal="center"/>
    </xf>
    <xf numFmtId="6" fontId="12" fillId="12" borderId="3" xfId="0" applyNumberFormat="1" applyFont="1" applyFill="1" applyBorder="1" applyAlignment="1">
      <alignment horizontal="center"/>
    </xf>
    <xf numFmtId="166" fontId="12" fillId="7" borderId="0" xfId="0" applyNumberFormat="1" applyFont="1" applyFill="1" applyAlignment="1">
      <alignment horizontal="center"/>
    </xf>
    <xf numFmtId="167" fontId="0" fillId="12" borderId="3" xfId="1" applyNumberFormat="1" applyFont="1" applyFill="1" applyBorder="1" applyAlignment="1">
      <alignment horizontal="right" indent="1"/>
    </xf>
    <xf numFmtId="0" fontId="0" fillId="4" borderId="3" xfId="0" applyFill="1" applyBorder="1" applyAlignment="1"/>
    <xf numFmtId="0" fontId="7" fillId="4" borderId="3" xfId="0" applyFont="1" applyFill="1" applyBorder="1" applyAlignment="1">
      <alignment horizontal="right"/>
    </xf>
    <xf numFmtId="0" fontId="0" fillId="4" borderId="3" xfId="0" applyFill="1" applyBorder="1"/>
    <xf numFmtId="0" fontId="7" fillId="4" borderId="3" xfId="0" applyFont="1" applyFill="1" applyBorder="1"/>
    <xf numFmtId="0" fontId="2" fillId="4" borderId="3" xfId="0" applyFont="1" applyFill="1" applyBorder="1"/>
    <xf numFmtId="2" fontId="7" fillId="4" borderId="3" xfId="0" applyNumberFormat="1" applyFont="1" applyFill="1" applyBorder="1"/>
    <xf numFmtId="1" fontId="0" fillId="0" borderId="3" xfId="0" applyNumberFormat="1" applyBorder="1"/>
    <xf numFmtId="165" fontId="0" fillId="0" borderId="3" xfId="0" applyNumberFormat="1" applyBorder="1"/>
    <xf numFmtId="1" fontId="2" fillId="0" borderId="3" xfId="0" applyNumberFormat="1" applyFont="1" applyFill="1" applyBorder="1"/>
    <xf numFmtId="165" fontId="2" fillId="0" borderId="3" xfId="0" applyNumberFormat="1" applyFont="1" applyFill="1" applyBorder="1"/>
    <xf numFmtId="1" fontId="0" fillId="12" borderId="3" xfId="0" applyNumberFormat="1" applyFill="1" applyBorder="1"/>
    <xf numFmtId="168" fontId="2" fillId="0" borderId="3" xfId="1" applyNumberFormat="1" applyFont="1" applyFill="1" applyBorder="1"/>
    <xf numFmtId="169" fontId="0" fillId="0" borderId="3" xfId="1" applyNumberFormat="1" applyFont="1" applyFill="1" applyBorder="1"/>
    <xf numFmtId="168" fontId="0" fillId="0" borderId="3" xfId="1" applyNumberFormat="1" applyFont="1" applyFill="1" applyBorder="1" applyAlignment="1">
      <alignment wrapText="1"/>
    </xf>
    <xf numFmtId="167" fontId="35" fillId="12" borderId="3" xfId="1" applyNumberFormat="1" applyFont="1" applyFill="1" applyBorder="1" applyAlignment="1"/>
    <xf numFmtId="170" fontId="7" fillId="12" borderId="3" xfId="1" applyNumberFormat="1" applyFont="1" applyFill="1" applyBorder="1"/>
    <xf numFmtId="170" fontId="5" fillId="12" borderId="3" xfId="1" applyNumberFormat="1" applyFont="1" applyFill="1" applyBorder="1" applyAlignment="1"/>
    <xf numFmtId="42" fontId="12" fillId="12" borderId="3" xfId="3" applyFont="1" applyFill="1" applyBorder="1" applyAlignment="1">
      <alignment horizontal="right"/>
    </xf>
    <xf numFmtId="6" fontId="12" fillId="12" borderId="3" xfId="0" applyNumberFormat="1" applyFont="1" applyFill="1" applyBorder="1" applyAlignment="1">
      <alignment horizontal="right"/>
    </xf>
    <xf numFmtId="1" fontId="5" fillId="0" borderId="3" xfId="0" applyNumberFormat="1" applyFont="1" applyFill="1" applyBorder="1"/>
    <xf numFmtId="165" fontId="5" fillId="0" borderId="3" xfId="0" applyNumberFormat="1" applyFont="1" applyFill="1" applyBorder="1"/>
    <xf numFmtId="167" fontId="2" fillId="0" borderId="3" xfId="1" applyNumberFormat="1" applyFont="1" applyFill="1" applyBorder="1"/>
    <xf numFmtId="1" fontId="7" fillId="12" borderId="3" xfId="1" applyNumberFormat="1" applyFont="1" applyFill="1" applyBorder="1" applyAlignment="1">
      <alignment horizontal="right" indent="1"/>
    </xf>
    <xf numFmtId="0" fontId="0" fillId="5" borderId="3" xfId="0" applyFill="1" applyBorder="1"/>
    <xf numFmtId="165" fontId="7" fillId="0" borderId="3" xfId="0" applyNumberFormat="1" applyFont="1" applyFill="1" applyBorder="1"/>
    <xf numFmtId="0" fontId="7" fillId="0" borderId="3" xfId="0" applyFont="1" applyFill="1" applyBorder="1"/>
    <xf numFmtId="0" fontId="2" fillId="12" borderId="7" xfId="0" applyFont="1" applyFill="1" applyBorder="1"/>
    <xf numFmtId="0" fontId="2" fillId="7" borderId="0" xfId="0" applyFont="1" applyFill="1" applyBorder="1"/>
    <xf numFmtId="1" fontId="7" fillId="7" borderId="0" xfId="0" applyNumberFormat="1" applyFont="1" applyFill="1"/>
    <xf numFmtId="0" fontId="4" fillId="7" borderId="0" xfId="0" quotePrefix="1" applyFont="1" applyFill="1"/>
    <xf numFmtId="0" fontId="26" fillId="12" borderId="3" xfId="0" applyFont="1" applyFill="1" applyBorder="1"/>
    <xf numFmtId="0" fontId="26" fillId="12" borderId="3" xfId="0" applyFont="1" applyFill="1" applyBorder="1" applyAlignment="1">
      <alignment horizontal="center"/>
    </xf>
    <xf numFmtId="0" fontId="3" fillId="12" borderId="3" xfId="0" applyFont="1" applyFill="1" applyBorder="1"/>
    <xf numFmtId="0" fontId="3" fillId="12" borderId="3" xfId="0" applyFont="1" applyFill="1" applyBorder="1" applyAlignment="1">
      <alignment horizontal="center"/>
    </xf>
    <xf numFmtId="0" fontId="2" fillId="12" borderId="3" xfId="0" applyFont="1" applyFill="1" applyBorder="1" applyAlignment="1">
      <alignment horizontal="center"/>
    </xf>
    <xf numFmtId="0" fontId="35" fillId="12" borderId="3" xfId="0" applyFont="1" applyFill="1" applyBorder="1" applyAlignment="1">
      <alignment horizontal="center"/>
    </xf>
    <xf numFmtId="0" fontId="2" fillId="12" borderId="3" xfId="0" applyFont="1" applyFill="1" applyBorder="1" applyAlignment="1">
      <alignment horizontal="right" indent="4"/>
    </xf>
    <xf numFmtId="0" fontId="35" fillId="12" borderId="3" xfId="0" applyFont="1" applyFill="1" applyBorder="1"/>
    <xf numFmtId="0" fontId="2" fillId="0" borderId="0" xfId="0" applyFont="1" applyFill="1" applyAlignment="1">
      <alignment wrapText="1"/>
    </xf>
    <xf numFmtId="0" fontId="32" fillId="18" borderId="0" xfId="0" applyFont="1" applyFill="1"/>
    <xf numFmtId="0" fontId="23" fillId="18" borderId="0" xfId="0" applyFont="1" applyFill="1"/>
    <xf numFmtId="0" fontId="34" fillId="18" borderId="0" xfId="0" applyFont="1" applyFill="1"/>
    <xf numFmtId="0" fontId="26" fillId="18" borderId="0" xfId="0" applyFont="1" applyFill="1"/>
    <xf numFmtId="0" fontId="38" fillId="18" borderId="0" xfId="0" applyFont="1" applyFill="1"/>
    <xf numFmtId="0" fontId="3" fillId="18" borderId="0" xfId="0" applyFont="1" applyFill="1"/>
    <xf numFmtId="0" fontId="24" fillId="18" borderId="0" xfId="0" applyFont="1" applyFill="1"/>
    <xf numFmtId="0" fontId="0" fillId="18" borderId="0" xfId="0" applyFill="1"/>
    <xf numFmtId="165" fontId="23" fillId="18" borderId="0" xfId="0" applyNumberFormat="1" applyFont="1" applyFill="1"/>
    <xf numFmtId="0" fontId="2" fillId="18" borderId="0" xfId="0" applyFont="1" applyFill="1"/>
    <xf numFmtId="0" fontId="25" fillId="18" borderId="0" xfId="0" applyFont="1" applyFill="1"/>
    <xf numFmtId="1" fontId="2" fillId="12" borderId="3" xfId="0" applyNumberFormat="1" applyFont="1" applyFill="1" applyBorder="1" applyAlignment="1">
      <alignment horizontal="right" indent="4"/>
    </xf>
    <xf numFmtId="0" fontId="61" fillId="0" borderId="0" xfId="0" applyFont="1" applyFill="1" applyAlignment="1">
      <alignment horizontal="right"/>
    </xf>
    <xf numFmtId="3" fontId="61" fillId="0" borderId="0" xfId="0" applyNumberFormat="1" applyFont="1" applyFill="1" applyAlignment="1">
      <alignment horizontal="right"/>
    </xf>
    <xf numFmtId="0" fontId="62" fillId="0" borderId="0" xfId="0" applyFont="1" applyFill="1" applyAlignment="1">
      <alignment horizontal="right"/>
    </xf>
    <xf numFmtId="0" fontId="63" fillId="0" borderId="0" xfId="0" applyFont="1" applyFill="1" applyAlignment="1">
      <alignment horizontal="right"/>
    </xf>
    <xf numFmtId="0" fontId="61" fillId="0" borderId="0" xfId="6" applyFont="1"/>
    <xf numFmtId="0" fontId="64" fillId="0" borderId="0" xfId="6" applyFont="1" applyFill="1"/>
    <xf numFmtId="3" fontId="61" fillId="0" borderId="0" xfId="5" applyNumberFormat="1" applyFont="1" applyFill="1"/>
    <xf numFmtId="0" fontId="61" fillId="0" borderId="0" xfId="5" applyFont="1" applyFill="1" applyAlignment="1">
      <alignment horizontal="right"/>
    </xf>
    <xf numFmtId="3" fontId="61" fillId="0" borderId="0" xfId="5" applyNumberFormat="1" applyFont="1" applyFill="1" applyAlignment="1">
      <alignment horizontal="right"/>
    </xf>
    <xf numFmtId="0" fontId="61" fillId="12" borderId="3" xfId="0" applyFont="1" applyFill="1" applyBorder="1"/>
    <xf numFmtId="0" fontId="65" fillId="12" borderId="3" xfId="0" applyFont="1" applyFill="1" applyBorder="1"/>
    <xf numFmtId="174" fontId="7" fillId="12" borderId="3" xfId="0" applyNumberFormat="1" applyFont="1" applyFill="1" applyBorder="1"/>
    <xf numFmtId="0" fontId="2" fillId="12" borderId="3" xfId="0" applyFont="1" applyFill="1" applyBorder="1" applyAlignment="1"/>
    <xf numFmtId="0" fontId="66" fillId="12" borderId="3" xfId="0" applyFont="1" applyFill="1" applyBorder="1"/>
    <xf numFmtId="0" fontId="66" fillId="20" borderId="3" xfId="0" applyFont="1" applyFill="1" applyBorder="1"/>
    <xf numFmtId="0" fontId="61" fillId="20" borderId="3" xfId="0" applyFont="1" applyFill="1" applyBorder="1"/>
    <xf numFmtId="174" fontId="7" fillId="4" borderId="3" xfId="0" applyNumberFormat="1" applyFont="1" applyFill="1" applyBorder="1"/>
    <xf numFmtId="0" fontId="67" fillId="12" borderId="3" xfId="0" applyFont="1" applyFill="1" applyBorder="1"/>
    <xf numFmtId="0" fontId="25" fillId="7" borderId="0" xfId="0" applyFont="1" applyFill="1" applyAlignment="1">
      <alignment horizontal="right"/>
    </xf>
    <xf numFmtId="0" fontId="23" fillId="2" borderId="0" xfId="0" applyFont="1" applyFill="1"/>
    <xf numFmtId="1" fontId="23" fillId="7" borderId="0" xfId="0" applyNumberFormat="1" applyFont="1" applyFill="1"/>
    <xf numFmtId="0" fontId="22" fillId="7" borderId="0" xfId="0" quotePrefix="1" applyFont="1" applyFill="1"/>
    <xf numFmtId="0" fontId="0" fillId="7" borderId="0" xfId="0" applyFill="1" applyAlignment="1">
      <alignment wrapText="1"/>
    </xf>
    <xf numFmtId="5" fontId="12" fillId="7" borderId="0" xfId="1" applyNumberFormat="1" applyFont="1" applyFill="1" applyAlignment="1">
      <alignment horizontal="center"/>
    </xf>
    <xf numFmtId="166" fontId="0" fillId="7" borderId="0" xfId="0" applyNumberFormat="1" applyFill="1"/>
    <xf numFmtId="168" fontId="23" fillId="7" borderId="0" xfId="0" applyNumberFormat="1" applyFont="1" applyFill="1"/>
    <xf numFmtId="0" fontId="2" fillId="18" borderId="0" xfId="0" applyFont="1" applyFill="1" applyAlignment="1">
      <alignment horizontal="right" wrapText="1"/>
    </xf>
    <xf numFmtId="0" fontId="23" fillId="18" borderId="0" xfId="0" applyFont="1" applyFill="1" applyAlignment="1">
      <alignment horizontal="right" wrapText="1"/>
    </xf>
    <xf numFmtId="0" fontId="0" fillId="18" borderId="0" xfId="0" applyFill="1" applyBorder="1"/>
    <xf numFmtId="1" fontId="0" fillId="18" borderId="0" xfId="0" applyNumberFormat="1" applyFill="1"/>
    <xf numFmtId="2" fontId="23" fillId="18" borderId="0" xfId="0" applyNumberFormat="1" applyFont="1" applyFill="1"/>
    <xf numFmtId="0" fontId="23" fillId="18" borderId="0" xfId="0" applyFont="1" applyFill="1" applyAlignment="1">
      <alignment horizontal="right" vertical="top" wrapText="1"/>
    </xf>
    <xf numFmtId="1" fontId="23" fillId="18" borderId="0" xfId="0" applyNumberFormat="1" applyFont="1" applyFill="1"/>
    <xf numFmtId="0" fontId="0" fillId="18" borderId="0" xfId="0" applyFill="1" applyAlignment="1">
      <alignment vertical="top"/>
    </xf>
    <xf numFmtId="2" fontId="11" fillId="18" borderId="0" xfId="0" applyNumberFormat="1" applyFont="1" applyFill="1"/>
    <xf numFmtId="0" fontId="60" fillId="18" borderId="0" xfId="0" applyFont="1" applyFill="1"/>
    <xf numFmtId="0" fontId="3" fillId="0" borderId="0" xfId="0" applyFont="1" applyAlignment="1">
      <alignment horizontal="center"/>
    </xf>
    <xf numFmtId="1" fontId="0" fillId="7" borderId="0" xfId="0" applyNumberFormat="1" applyFill="1" applyAlignment="1">
      <alignment horizontal="center"/>
    </xf>
    <xf numFmtId="2" fontId="0" fillId="15" borderId="0" xfId="0" applyNumberFormat="1" applyFill="1" applyAlignment="1">
      <alignment horizontal="center"/>
    </xf>
    <xf numFmtId="2" fontId="0" fillId="7" borderId="0" xfId="0" applyNumberFormat="1" applyFill="1" applyAlignment="1">
      <alignment horizontal="center"/>
    </xf>
    <xf numFmtId="170" fontId="0" fillId="15" borderId="0" xfId="0" applyNumberFormat="1" applyFill="1" applyAlignment="1">
      <alignment horizontal="center"/>
    </xf>
    <xf numFmtId="170" fontId="0" fillId="0" borderId="0" xfId="0" applyNumberFormat="1" applyAlignment="1">
      <alignment horizontal="center"/>
    </xf>
    <xf numFmtId="166" fontId="5" fillId="12" borderId="3" xfId="1" applyNumberFormat="1" applyFont="1" applyFill="1" applyBorder="1" applyAlignment="1">
      <alignment horizontal="right" indent="1"/>
    </xf>
    <xf numFmtId="166" fontId="61" fillId="0" borderId="0" xfId="0" applyNumberFormat="1" applyFont="1" applyFill="1" applyAlignment="1">
      <alignment horizontal="right"/>
    </xf>
    <xf numFmtId="3" fontId="61" fillId="0" borderId="0" xfId="6" applyNumberFormat="1" applyFont="1"/>
    <xf numFmtId="0" fontId="2" fillId="12" borderId="3" xfId="0" applyFont="1" applyFill="1" applyBorder="1" applyAlignment="1">
      <alignment horizontal="center" vertical="center" wrapText="1"/>
    </xf>
    <xf numFmtId="0" fontId="0" fillId="12" borderId="3" xfId="0" applyFill="1" applyBorder="1" applyAlignment="1">
      <alignment horizontal="center" vertical="center" wrapText="1"/>
    </xf>
    <xf numFmtId="5" fontId="2" fillId="12" borderId="3" xfId="1" applyNumberFormat="1" applyFont="1" applyFill="1" applyBorder="1" applyAlignment="1">
      <alignment horizontal="center" vertical="center"/>
    </xf>
    <xf numFmtId="5" fontId="5" fillId="12" borderId="3" xfId="1" applyNumberFormat="1" applyFont="1" applyFill="1" applyBorder="1" applyAlignment="1">
      <alignment horizontal="center" vertical="center"/>
    </xf>
    <xf numFmtId="5" fontId="2" fillId="12" borderId="3" xfId="1" applyNumberFormat="1" applyFont="1" applyFill="1" applyBorder="1" applyAlignment="1">
      <alignment horizontal="center" vertical="center" wrapText="1"/>
    </xf>
    <xf numFmtId="0" fontId="0" fillId="10" borderId="0" xfId="0" applyFill="1"/>
    <xf numFmtId="0" fontId="5" fillId="5" borderId="3" xfId="0" applyFont="1" applyFill="1" applyBorder="1"/>
    <xf numFmtId="1" fontId="0" fillId="5" borderId="3" xfId="0" applyNumberFormat="1" applyFill="1" applyBorder="1"/>
    <xf numFmtId="3" fontId="61" fillId="16" borderId="0" xfId="0" applyNumberFormat="1" applyFont="1" applyFill="1" applyAlignment="1">
      <alignment horizontal="right"/>
    </xf>
    <xf numFmtId="170" fontId="2" fillId="0" borderId="3" xfId="0" applyNumberFormat="1" applyFont="1" applyBorder="1" applyAlignment="1">
      <alignment horizontal="right"/>
    </xf>
    <xf numFmtId="170" fontId="40" fillId="0" borderId="3" xfId="0" applyNumberFormat="1" applyFont="1" applyBorder="1"/>
    <xf numFmtId="170" fontId="2" fillId="12" borderId="3" xfId="0" applyNumberFormat="1" applyFont="1" applyFill="1" applyBorder="1" applyAlignment="1">
      <alignment horizontal="right"/>
    </xf>
    <xf numFmtId="2" fontId="4" fillId="18" borderId="0" xfId="0" applyNumberFormat="1" applyFont="1" applyFill="1"/>
    <xf numFmtId="166" fontId="4" fillId="13" borderId="0" xfId="0" applyNumberFormat="1" applyFont="1" applyFill="1"/>
    <xf numFmtId="2" fontId="4" fillId="13" borderId="0" xfId="0" applyNumberFormat="1" applyFont="1" applyFill="1"/>
    <xf numFmtId="166" fontId="12" fillId="18" borderId="0" xfId="1" applyNumberFormat="1" applyFont="1" applyFill="1" applyAlignment="1">
      <alignment horizontal="center"/>
    </xf>
    <xf numFmtId="0" fontId="2" fillId="0" borderId="0" xfId="0" applyFont="1" applyFill="1" applyAlignment="1">
      <alignment horizontal="left" vertical="top" wrapText="1"/>
    </xf>
    <xf numFmtId="0" fontId="0" fillId="0" borderId="0" xfId="0" applyAlignment="1">
      <alignment horizontal="left" vertical="top" wrapText="1"/>
    </xf>
    <xf numFmtId="0" fontId="56" fillId="14" borderId="0" xfId="0" applyFont="1" applyFill="1" applyAlignment="1">
      <alignment wrapText="1"/>
    </xf>
    <xf numFmtId="0" fontId="0" fillId="0" borderId="0" xfId="0" applyAlignment="1"/>
  </cellXfs>
  <cellStyles count="7">
    <cellStyle name="Hyperlänk" xfId="2" builtinId="8"/>
    <cellStyle name="Normal" xfId="0" builtinId="0"/>
    <cellStyle name="Normal 2" xfId="5" xr:uid="{00000000-0005-0000-0000-000002000000}"/>
    <cellStyle name="Normal 3" xfId="6" xr:uid="{00000000-0005-0000-0000-000003000000}"/>
    <cellStyle name="Tusental" xfId="1" builtinId="3"/>
    <cellStyle name="Valuta" xfId="4" builtinId="4"/>
    <cellStyle name="Valuta [0]" xfId="3" builtinId="7"/>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99CCFF"/>
      <color rgb="FFFAFD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a:t>Kostnader och nyttor under kalkylperioden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stacked"/>
        <c:varyColors val="0"/>
        <c:ser>
          <c:idx val="0"/>
          <c:order val="0"/>
          <c:tx>
            <c:strRef>
              <c:f>NuvFasad!$I$2</c:f>
              <c:strCache>
                <c:ptCount val="1"/>
                <c:pt idx="0">
                  <c:v>Bullernytta </c:v>
                </c:pt>
              </c:strCache>
            </c:strRef>
          </c:tx>
          <c:spPr>
            <a:solidFill>
              <a:schemeClr val="accent1"/>
            </a:solidFill>
            <a:ln>
              <a:noFill/>
            </a:ln>
            <a:effectLst/>
          </c:spPr>
          <c:invertIfNegative val="0"/>
          <c:cat>
            <c:strRef>
              <c:f>NuvFasad!$H$3:$H$25</c:f>
              <c:strCache>
                <c:ptCount val="23"/>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2">
                  <c:v>Summa kalkylperioden</c:v>
                </c:pt>
              </c:strCache>
            </c:strRef>
          </c:cat>
          <c:val>
            <c:numRef>
              <c:f>NuvFasad!$I$3:$I$25</c:f>
              <c:numCache>
                <c:formatCode>0</c:formatCode>
                <c:ptCount val="23"/>
                <c:pt idx="0">
                  <c:v>0</c:v>
                </c:pt>
                <c:pt idx="1">
                  <c:v>16041.993690768972</c:v>
                </c:pt>
                <c:pt idx="2">
                  <c:v>15677.755186679051</c:v>
                </c:pt>
                <c:pt idx="3">
                  <c:v>15321.786832198903</c:v>
                </c:pt>
                <c:pt idx="4">
                  <c:v>14973.900850984726</c:v>
                </c:pt>
                <c:pt idx="5">
                  <c:v>14633.913730213579</c:v>
                </c:pt>
                <c:pt idx="6">
                  <c:v>14301.646123778779</c:v>
                </c:pt>
                <c:pt idx="7">
                  <c:v>13976.92275768332</c:v>
                </c:pt>
                <c:pt idx="8">
                  <c:v>13659.572337581336</c:v>
                </c:pt>
                <c:pt idx="9">
                  <c:v>13349.427458418864</c:v>
                </c:pt>
                <c:pt idx="10">
                  <c:v>13046.324516126264</c:v>
                </c:pt>
                <c:pt idx="11">
                  <c:v>12750.103621315668</c:v>
                </c:pt>
                <c:pt idx="12">
                  <c:v>12460.608514937972</c:v>
                </c:pt>
                <c:pt idx="13">
                  <c:v>12177.686485854842</c:v>
                </c:pt>
                <c:pt idx="14">
                  <c:v>11901.188290282291</c:v>
                </c:pt>
                <c:pt idx="15">
                  <c:v>11630.968073063326</c:v>
                </c:pt>
                <c:pt idx="16">
                  <c:v>11366.883290728076</c:v>
                </c:pt>
                <c:pt idx="17">
                  <c:v>11108.794636300918</c:v>
                </c:pt>
                <c:pt idx="18">
                  <c:v>10856.56596581486</c:v>
                </c:pt>
                <c:pt idx="19">
                  <c:v>10610.064226494429</c:v>
                </c:pt>
                <c:pt idx="20">
                  <c:v>10369.159386569192</c:v>
                </c:pt>
                <c:pt idx="22">
                  <c:v>260215.26597579542</c:v>
                </c:pt>
              </c:numCache>
            </c:numRef>
          </c:val>
          <c:extLst>
            <c:ext xmlns:c16="http://schemas.microsoft.com/office/drawing/2014/chart" uri="{C3380CC4-5D6E-409C-BE32-E72D297353CC}">
              <c16:uniqueId val="{00000000-02A2-4ACA-9078-2ECEB1E843DC}"/>
            </c:ext>
          </c:extLst>
        </c:ser>
        <c:ser>
          <c:idx val="1"/>
          <c:order val="1"/>
          <c:tx>
            <c:strRef>
              <c:f>NuvFasad!$J$2</c:f>
              <c:strCache>
                <c:ptCount val="1"/>
                <c:pt idx="0">
                  <c:v>Investeringskostnad inkl skattefaktor</c:v>
                </c:pt>
              </c:strCache>
            </c:strRef>
          </c:tx>
          <c:spPr>
            <a:solidFill>
              <a:schemeClr val="accent2"/>
            </a:solidFill>
            <a:ln>
              <a:noFill/>
            </a:ln>
            <a:effectLst/>
          </c:spPr>
          <c:invertIfNegative val="0"/>
          <c:cat>
            <c:strRef>
              <c:f>NuvFasad!$H$3:$H$25</c:f>
              <c:strCache>
                <c:ptCount val="23"/>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2">
                  <c:v>Summa kalkylperioden</c:v>
                </c:pt>
              </c:strCache>
            </c:strRef>
          </c:cat>
          <c:val>
            <c:numRef>
              <c:f>NuvFasad!$J$3:$J$25</c:f>
              <c:numCache>
                <c:formatCode>General</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2" formatCode="0">
                  <c:v>0</c:v>
                </c:pt>
              </c:numCache>
            </c:numRef>
          </c:val>
          <c:extLst>
            <c:ext xmlns:c16="http://schemas.microsoft.com/office/drawing/2014/chart" uri="{C3380CC4-5D6E-409C-BE32-E72D297353CC}">
              <c16:uniqueId val="{00000001-02A2-4ACA-9078-2ECEB1E843DC}"/>
            </c:ext>
          </c:extLst>
        </c:ser>
        <c:ser>
          <c:idx val="2"/>
          <c:order val="2"/>
          <c:tx>
            <c:strRef>
              <c:f>NuvFasad!$K$2</c:f>
              <c:strCache>
                <c:ptCount val="1"/>
                <c:pt idx="0">
                  <c:v>Underhåll</c:v>
                </c:pt>
              </c:strCache>
            </c:strRef>
          </c:tx>
          <c:spPr>
            <a:solidFill>
              <a:schemeClr val="accent3"/>
            </a:solidFill>
            <a:ln>
              <a:noFill/>
            </a:ln>
            <a:effectLst/>
          </c:spPr>
          <c:invertIfNegative val="0"/>
          <c:cat>
            <c:strRef>
              <c:f>NuvFasad!$H$3:$H$25</c:f>
              <c:strCache>
                <c:ptCount val="23"/>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2">
                  <c:v>Summa kalkylperioden</c:v>
                </c:pt>
              </c:strCache>
            </c:strRef>
          </c:cat>
          <c:val>
            <c:numRef>
              <c:f>NuvFasad!$K$3:$K$25</c:f>
              <c:numCache>
                <c:formatCode>0</c:formatCode>
                <c:ptCount val="23"/>
                <c:pt idx="0" formatCode="General">
                  <c:v>0</c:v>
                </c:pt>
                <c:pt idx="1">
                  <c:v>-966.18357487922708</c:v>
                </c:pt>
                <c:pt idx="2">
                  <c:v>-933.51070036640306</c:v>
                </c:pt>
                <c:pt idx="3">
                  <c:v>-901.94270566802243</c:v>
                </c:pt>
                <c:pt idx="4">
                  <c:v>-871.44222769857242</c:v>
                </c:pt>
                <c:pt idx="5">
                  <c:v>-841.97316685852422</c:v>
                </c:pt>
                <c:pt idx="6">
                  <c:v>-813.50064430775274</c:v>
                </c:pt>
                <c:pt idx="7">
                  <c:v>-785.99096068381914</c:v>
                </c:pt>
                <c:pt idx="8">
                  <c:v>-759.41155621625057</c:v>
                </c:pt>
                <c:pt idx="9">
                  <c:v>-733.73097218961414</c:v>
                </c:pt>
                <c:pt idx="10">
                  <c:v>-708.91881370977217</c:v>
                </c:pt>
                <c:pt idx="11">
                  <c:v>-684.9457137292485</c:v>
                </c:pt>
                <c:pt idx="12">
                  <c:v>-661.78329828912899</c:v>
                </c:pt>
                <c:pt idx="13">
                  <c:v>-639.4041529363567</c:v>
                </c:pt>
                <c:pt idx="14">
                  <c:v>-617.78179027667306</c:v>
                </c:pt>
                <c:pt idx="15">
                  <c:v>-596.89061862480492</c:v>
                </c:pt>
                <c:pt idx="16">
                  <c:v>-576.70591171478748</c:v>
                </c:pt>
                <c:pt idx="17">
                  <c:v>-557.20377943457731</c:v>
                </c:pt>
                <c:pt idx="18">
                  <c:v>-538.36113955031624</c:v>
                </c:pt>
                <c:pt idx="19">
                  <c:v>-520.15569038677904</c:v>
                </c:pt>
                <c:pt idx="20">
                  <c:v>-502.56588443167067</c:v>
                </c:pt>
                <c:pt idx="22">
                  <c:v>-14212.403301952299</c:v>
                </c:pt>
              </c:numCache>
            </c:numRef>
          </c:val>
          <c:extLst>
            <c:ext xmlns:c16="http://schemas.microsoft.com/office/drawing/2014/chart" uri="{C3380CC4-5D6E-409C-BE32-E72D297353CC}">
              <c16:uniqueId val="{00000002-02A2-4ACA-9078-2ECEB1E843DC}"/>
            </c:ext>
          </c:extLst>
        </c:ser>
        <c:dLbls>
          <c:showLegendKey val="0"/>
          <c:showVal val="0"/>
          <c:showCatName val="0"/>
          <c:showSerName val="0"/>
          <c:showPercent val="0"/>
          <c:showBubbleSize val="0"/>
        </c:dLbls>
        <c:gapWidth val="29"/>
        <c:overlap val="100"/>
        <c:axId val="366792288"/>
        <c:axId val="366791896"/>
      </c:barChart>
      <c:catAx>
        <c:axId val="366792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366791896"/>
        <c:crosses val="autoZero"/>
        <c:auto val="1"/>
        <c:lblAlgn val="ctr"/>
        <c:lblOffset val="100"/>
        <c:noMultiLvlLbl val="0"/>
      </c:catAx>
      <c:valAx>
        <c:axId val="366791896"/>
        <c:scaling>
          <c:orientation val="minMax"/>
          <c:max val="65000"/>
          <c:min val="-35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366792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000000000000133" l="0.70000000000000062" r="0.70000000000000062" t="0.750000000000001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a:t>Kostnader och nyttor under kalkylperioden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stacked"/>
        <c:varyColors val="0"/>
        <c:ser>
          <c:idx val="0"/>
          <c:order val="0"/>
          <c:tx>
            <c:strRef>
              <c:f>NuvFasadUtemiljö!$P$2</c:f>
              <c:strCache>
                <c:ptCount val="1"/>
                <c:pt idx="0">
                  <c:v>Nytta inne</c:v>
                </c:pt>
              </c:strCache>
            </c:strRef>
          </c:tx>
          <c:spPr>
            <a:solidFill>
              <a:schemeClr val="accent1"/>
            </a:solidFill>
            <a:ln>
              <a:noFill/>
            </a:ln>
            <a:effectLst/>
          </c:spPr>
          <c:invertIfNegative val="0"/>
          <c:cat>
            <c:strRef>
              <c:f>NuvFasadUtemiljö!$O$3:$O$35</c:f>
              <c:strCache>
                <c:ptCount val="33"/>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2">
                  <c:v>Summa kalkylperioden</c:v>
                </c:pt>
              </c:strCache>
            </c:strRef>
          </c:cat>
          <c:val>
            <c:numRef>
              <c:f>NuvFasadUtemiljö!$P$3:$P$35</c:f>
              <c:numCache>
                <c:formatCode>0</c:formatCode>
                <c:ptCount val="33"/>
                <c:pt idx="0">
                  <c:v>0</c:v>
                </c:pt>
                <c:pt idx="1">
                  <c:v>30936.063271590421</c:v>
                </c:pt>
                <c:pt idx="2">
                  <c:v>30233.650240786199</c:v>
                </c:pt>
                <c:pt idx="3">
                  <c:v>29547.18571841087</c:v>
                </c:pt>
                <c:pt idx="4">
                  <c:v>28876.307588572559</c:v>
                </c:pt>
                <c:pt idx="5">
                  <c:v>28220.66195733444</c:v>
                </c:pt>
                <c:pt idx="6">
                  <c:v>27579.902966032645</c:v>
                </c:pt>
                <c:pt idx="7">
                  <c:v>26953.692608832873</c:v>
                </c:pt>
                <c:pt idx="8">
                  <c:v>26341.70055442943</c:v>
                </c:pt>
                <c:pt idx="9">
                  <c:v>25743.603971792636</c:v>
                </c:pt>
                <c:pt idx="10">
                  <c:v>25159.087359872712</c:v>
                </c:pt>
                <c:pt idx="11">
                  <c:v>24587.842381170289</c:v>
                </c:pt>
                <c:pt idx="12">
                  <c:v>24029.567699085746</c:v>
                </c:pt>
                <c:pt idx="13">
                  <c:v>23483.968818961584</c:v>
                </c:pt>
                <c:pt idx="14">
                  <c:v>22950.757932733952</c:v>
                </c:pt>
                <c:pt idx="15">
                  <c:v>22429.6537671115</c:v>
                </c:pt>
                <c:pt idx="16">
                  <c:v>21920.381435201241</c:v>
                </c:pt>
                <c:pt idx="17">
                  <c:v>21422.672291503441</c:v>
                </c:pt>
                <c:pt idx="18">
                  <c:v>20936.263790198776</c:v>
                </c:pt>
                <c:pt idx="19">
                  <c:v>20460.899346653205</c:v>
                </c:pt>
                <c:pt idx="20">
                  <c:v>19996.328202067361</c:v>
                </c:pt>
                <c:pt idx="21">
                  <c:v>0</c:v>
                </c:pt>
                <c:pt idx="22">
                  <c:v>0</c:v>
                </c:pt>
                <c:pt idx="23">
                  <c:v>0</c:v>
                </c:pt>
                <c:pt idx="24">
                  <c:v>0</c:v>
                </c:pt>
                <c:pt idx="25">
                  <c:v>0</c:v>
                </c:pt>
                <c:pt idx="26">
                  <c:v>0</c:v>
                </c:pt>
                <c:pt idx="27">
                  <c:v>0</c:v>
                </c:pt>
                <c:pt idx="28">
                  <c:v>0</c:v>
                </c:pt>
                <c:pt idx="29">
                  <c:v>0</c:v>
                </c:pt>
                <c:pt idx="30">
                  <c:v>0</c:v>
                </c:pt>
                <c:pt idx="32">
                  <c:v>501810.1919023419</c:v>
                </c:pt>
              </c:numCache>
            </c:numRef>
          </c:val>
          <c:extLst>
            <c:ext xmlns:c16="http://schemas.microsoft.com/office/drawing/2014/chart" uri="{C3380CC4-5D6E-409C-BE32-E72D297353CC}">
              <c16:uniqueId val="{00000000-5ECD-498D-A480-E3B4C5668CD7}"/>
            </c:ext>
          </c:extLst>
        </c:ser>
        <c:ser>
          <c:idx val="1"/>
          <c:order val="1"/>
          <c:tx>
            <c:strRef>
              <c:f>NuvFasadUtemiljö!$Q$2</c:f>
              <c:strCache>
                <c:ptCount val="1"/>
                <c:pt idx="0">
                  <c:v>Nytta utemiljö</c:v>
                </c:pt>
              </c:strCache>
            </c:strRef>
          </c:tx>
          <c:spPr>
            <a:solidFill>
              <a:schemeClr val="accent2"/>
            </a:solidFill>
            <a:ln>
              <a:noFill/>
            </a:ln>
            <a:effectLst/>
          </c:spPr>
          <c:invertIfNegative val="0"/>
          <c:cat>
            <c:strRef>
              <c:f>NuvFasadUtemiljö!$O$3:$O$35</c:f>
              <c:strCache>
                <c:ptCount val="33"/>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2">
                  <c:v>Summa kalkylperioden</c:v>
                </c:pt>
              </c:strCache>
            </c:strRef>
          </c:cat>
          <c:val>
            <c:numRef>
              <c:f>NuvFasadUtemiljö!$Q$3:$Q$35</c:f>
              <c:numCache>
                <c:formatCode>0</c:formatCode>
                <c:ptCount val="33"/>
                <c:pt idx="0">
                  <c:v>0</c:v>
                </c:pt>
                <c:pt idx="1">
                  <c:v>83080.606911571624</c:v>
                </c:pt>
                <c:pt idx="2">
                  <c:v>81194.235643531123</c:v>
                </c:pt>
                <c:pt idx="3">
                  <c:v>79350.695027470283</c:v>
                </c:pt>
                <c:pt idx="4">
                  <c:v>77549.012579986666</c:v>
                </c:pt>
                <c:pt idx="5">
                  <c:v>75788.237898218882</c:v>
                </c:pt>
                <c:pt idx="6">
                  <c:v>74067.442158500853</c:v>
                </c:pt>
                <c:pt idx="7">
                  <c:v>72385.717626399652</c:v>
                </c:pt>
                <c:pt idx="8">
                  <c:v>70742.177177877558</c:v>
                </c:pt>
                <c:pt idx="9">
                  <c:v>69135.953831326726</c:v>
                </c:pt>
                <c:pt idx="10">
                  <c:v>67566.200290228982</c:v>
                </c:pt>
                <c:pt idx="11">
                  <c:v>66032.088496199634</c:v>
                </c:pt>
                <c:pt idx="12">
                  <c:v>64532.809192179644</c:v>
                </c:pt>
                <c:pt idx="13">
                  <c:v>63067.571495545628</c:v>
                </c:pt>
                <c:pt idx="14">
                  <c:v>61635.602480912465</c:v>
                </c:pt>
                <c:pt idx="15">
                  <c:v>60236.146772408683</c:v>
                </c:pt>
                <c:pt idx="16">
                  <c:v>58868.466145209073</c:v>
                </c:pt>
                <c:pt idx="17">
                  <c:v>57531.83913611497</c:v>
                </c:pt>
                <c:pt idx="18">
                  <c:v>56225.560662976131</c:v>
                </c:pt>
                <c:pt idx="19">
                  <c:v>54948.941652753987</c:v>
                </c:pt>
                <c:pt idx="20">
                  <c:v>53701.308678029614</c:v>
                </c:pt>
                <c:pt idx="21">
                  <c:v>0</c:v>
                </c:pt>
                <c:pt idx="22">
                  <c:v>0</c:v>
                </c:pt>
                <c:pt idx="23">
                  <c:v>0</c:v>
                </c:pt>
                <c:pt idx="24">
                  <c:v>0</c:v>
                </c:pt>
                <c:pt idx="25">
                  <c:v>0</c:v>
                </c:pt>
                <c:pt idx="26">
                  <c:v>0</c:v>
                </c:pt>
                <c:pt idx="27">
                  <c:v>0</c:v>
                </c:pt>
                <c:pt idx="28">
                  <c:v>0</c:v>
                </c:pt>
                <c:pt idx="29">
                  <c:v>0</c:v>
                </c:pt>
                <c:pt idx="30">
                  <c:v>0</c:v>
                </c:pt>
                <c:pt idx="32">
                  <c:v>1347640.6138574423</c:v>
                </c:pt>
              </c:numCache>
            </c:numRef>
          </c:val>
          <c:extLst>
            <c:ext xmlns:c16="http://schemas.microsoft.com/office/drawing/2014/chart" uri="{C3380CC4-5D6E-409C-BE32-E72D297353CC}">
              <c16:uniqueId val="{00000001-5ECD-498D-A480-E3B4C5668CD7}"/>
            </c:ext>
          </c:extLst>
        </c:ser>
        <c:ser>
          <c:idx val="2"/>
          <c:order val="2"/>
          <c:tx>
            <c:strRef>
              <c:f>NuvFasadUtemiljö!$R$2</c:f>
              <c:strCache>
                <c:ptCount val="1"/>
                <c:pt idx="0">
                  <c:v>Kostnad fönster</c:v>
                </c:pt>
              </c:strCache>
            </c:strRef>
          </c:tx>
          <c:spPr>
            <a:solidFill>
              <a:schemeClr val="accent3"/>
            </a:solidFill>
            <a:ln>
              <a:noFill/>
            </a:ln>
            <a:effectLst/>
          </c:spPr>
          <c:invertIfNegative val="0"/>
          <c:cat>
            <c:strRef>
              <c:f>NuvFasadUtemiljö!$O$3:$O$35</c:f>
              <c:strCache>
                <c:ptCount val="33"/>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2">
                  <c:v>Summa kalkylperioden</c:v>
                </c:pt>
              </c:strCache>
            </c:strRef>
          </c:cat>
          <c:val>
            <c:numRef>
              <c:f>NuvFasadUtemiljö!$R$3:$R$35</c:f>
              <c:numCache>
                <c:formatCode>0</c:formatCode>
                <c:ptCount val="33"/>
                <c:pt idx="0">
                  <c:v>0</c:v>
                </c:pt>
                <c:pt idx="32">
                  <c:v>0</c:v>
                </c:pt>
              </c:numCache>
            </c:numRef>
          </c:val>
          <c:extLst>
            <c:ext xmlns:c16="http://schemas.microsoft.com/office/drawing/2014/chart" uri="{C3380CC4-5D6E-409C-BE32-E72D297353CC}">
              <c16:uniqueId val="{00000002-5ECD-498D-A480-E3B4C5668CD7}"/>
            </c:ext>
          </c:extLst>
        </c:ser>
        <c:ser>
          <c:idx val="3"/>
          <c:order val="3"/>
          <c:tx>
            <c:strRef>
              <c:f>NuvFasadUtemiljö!$S$2</c:f>
              <c:strCache>
                <c:ptCount val="1"/>
                <c:pt idx="0">
                  <c:v>Kostnad utemiljö</c:v>
                </c:pt>
              </c:strCache>
            </c:strRef>
          </c:tx>
          <c:spPr>
            <a:solidFill>
              <a:schemeClr val="accent4"/>
            </a:solidFill>
            <a:ln>
              <a:noFill/>
            </a:ln>
            <a:effectLst/>
          </c:spPr>
          <c:invertIfNegative val="0"/>
          <c:cat>
            <c:strRef>
              <c:f>NuvFasadUtemiljö!$O$3:$O$35</c:f>
              <c:strCache>
                <c:ptCount val="33"/>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2">
                  <c:v>Summa kalkylperioden</c:v>
                </c:pt>
              </c:strCache>
            </c:strRef>
          </c:cat>
          <c:val>
            <c:numRef>
              <c:f>NuvFasadUtemiljö!$S$3:$S$35</c:f>
              <c:numCache>
                <c:formatCode>0</c:formatCode>
                <c:ptCount val="33"/>
                <c:pt idx="0">
                  <c:v>0</c:v>
                </c:pt>
                <c:pt idx="32">
                  <c:v>0</c:v>
                </c:pt>
              </c:numCache>
            </c:numRef>
          </c:val>
          <c:extLst>
            <c:ext xmlns:c16="http://schemas.microsoft.com/office/drawing/2014/chart" uri="{C3380CC4-5D6E-409C-BE32-E72D297353CC}">
              <c16:uniqueId val="{00000003-5ECD-498D-A480-E3B4C5668CD7}"/>
            </c:ext>
          </c:extLst>
        </c:ser>
        <c:ser>
          <c:idx val="4"/>
          <c:order val="4"/>
          <c:tx>
            <c:strRef>
              <c:f>NuvFasadUtemiljö!$T$2</c:f>
              <c:strCache>
                <c:ptCount val="1"/>
                <c:pt idx="0">
                  <c:v>Restvärde</c:v>
                </c:pt>
              </c:strCache>
            </c:strRef>
          </c:tx>
          <c:spPr>
            <a:solidFill>
              <a:schemeClr val="accent5"/>
            </a:solidFill>
            <a:ln>
              <a:noFill/>
            </a:ln>
            <a:effectLst/>
          </c:spPr>
          <c:invertIfNegative val="0"/>
          <c:cat>
            <c:strRef>
              <c:f>NuvFasadUtemiljö!$O$3:$O$35</c:f>
              <c:strCache>
                <c:ptCount val="33"/>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2">
                  <c:v>Summa kalkylperioden</c:v>
                </c:pt>
              </c:strCache>
            </c:strRef>
          </c:cat>
          <c:val>
            <c:numRef>
              <c:f>NuvFasadUtemiljö!$T$3:$T$35</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155382.68890641027</c:v>
                </c:pt>
                <c:pt idx="22">
                  <c:v>0</c:v>
                </c:pt>
                <c:pt idx="23">
                  <c:v>0</c:v>
                </c:pt>
                <c:pt idx="24">
                  <c:v>0</c:v>
                </c:pt>
                <c:pt idx="25">
                  <c:v>0</c:v>
                </c:pt>
                <c:pt idx="26">
                  <c:v>0</c:v>
                </c:pt>
                <c:pt idx="27">
                  <c:v>0</c:v>
                </c:pt>
                <c:pt idx="28">
                  <c:v>0</c:v>
                </c:pt>
                <c:pt idx="29">
                  <c:v>0</c:v>
                </c:pt>
                <c:pt idx="30">
                  <c:v>0</c:v>
                </c:pt>
                <c:pt idx="32">
                  <c:v>155382.68890641027</c:v>
                </c:pt>
              </c:numCache>
            </c:numRef>
          </c:val>
          <c:extLst>
            <c:ext xmlns:c16="http://schemas.microsoft.com/office/drawing/2014/chart" uri="{C3380CC4-5D6E-409C-BE32-E72D297353CC}">
              <c16:uniqueId val="{00000004-5ECD-498D-A480-E3B4C5668CD7}"/>
            </c:ext>
          </c:extLst>
        </c:ser>
        <c:ser>
          <c:idx val="5"/>
          <c:order val="5"/>
          <c:tx>
            <c:strRef>
              <c:f>NuvFasadUtemiljö!$U$2</c:f>
              <c:strCache>
                <c:ptCount val="1"/>
                <c:pt idx="0">
                  <c:v>Underhåll</c:v>
                </c:pt>
              </c:strCache>
            </c:strRef>
          </c:tx>
          <c:spPr>
            <a:solidFill>
              <a:schemeClr val="accent6"/>
            </a:solidFill>
            <a:ln>
              <a:noFill/>
            </a:ln>
            <a:effectLst/>
          </c:spPr>
          <c:invertIfNegative val="0"/>
          <c:cat>
            <c:strRef>
              <c:f>NuvFasadUtemiljö!$O$3:$O$35</c:f>
              <c:strCache>
                <c:ptCount val="33"/>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2">
                  <c:v>Summa kalkylperioden</c:v>
                </c:pt>
              </c:strCache>
            </c:strRef>
          </c:cat>
          <c:val>
            <c:numRef>
              <c:f>NuvFasadUtemiljö!$U$3:$U$35</c:f>
              <c:numCache>
                <c:formatCode>0</c:formatCode>
                <c:ptCount val="33"/>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2">
                  <c:v>0</c:v>
                </c:pt>
              </c:numCache>
            </c:numRef>
          </c:val>
          <c:extLst>
            <c:ext xmlns:c16="http://schemas.microsoft.com/office/drawing/2014/chart" uri="{C3380CC4-5D6E-409C-BE32-E72D297353CC}">
              <c16:uniqueId val="{00000005-5ECD-498D-A480-E3B4C5668CD7}"/>
            </c:ext>
          </c:extLst>
        </c:ser>
        <c:dLbls>
          <c:showLegendKey val="0"/>
          <c:showVal val="0"/>
          <c:showCatName val="0"/>
          <c:showSerName val="0"/>
          <c:showPercent val="0"/>
          <c:showBubbleSize val="0"/>
        </c:dLbls>
        <c:gapWidth val="29"/>
        <c:overlap val="100"/>
        <c:axId val="366793072"/>
        <c:axId val="366793464"/>
      </c:barChart>
      <c:catAx>
        <c:axId val="366793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366793464"/>
        <c:crosses val="autoZero"/>
        <c:auto val="1"/>
        <c:lblAlgn val="ctr"/>
        <c:lblOffset val="100"/>
        <c:noMultiLvlLbl val="0"/>
      </c:catAx>
      <c:valAx>
        <c:axId val="366793464"/>
        <c:scaling>
          <c:orientation val="minMax"/>
          <c:max val="1000000"/>
          <c:min val="-4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366793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000000000000133" l="0.70000000000000062" r="0.70000000000000062" t="0.750000000000001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stacked"/>
        <c:varyColors val="0"/>
        <c:ser>
          <c:idx val="0"/>
          <c:order val="0"/>
          <c:tx>
            <c:strRef>
              <c:f>NuvLångSkärm!$J$2</c:f>
              <c:strCache>
                <c:ptCount val="1"/>
                <c:pt idx="0">
                  <c:v>Nytta inne</c:v>
                </c:pt>
              </c:strCache>
            </c:strRef>
          </c:tx>
          <c:spPr>
            <a:solidFill>
              <a:schemeClr val="accent1"/>
            </a:solidFill>
            <a:ln>
              <a:noFill/>
            </a:ln>
            <a:effectLst/>
          </c:spPr>
          <c:invertIfNegative val="0"/>
          <c:cat>
            <c:strRef>
              <c:f>NuvLångSkärm!$I$3:$I$47</c:f>
              <c:strCache>
                <c:ptCount val="4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4">
                  <c:v>Summa kalkylperioden</c:v>
                </c:pt>
              </c:strCache>
            </c:strRef>
          </c:cat>
          <c:val>
            <c:numRef>
              <c:f>NuvLångSkärm!$J$3:$J$47</c:f>
              <c:numCache>
                <c:formatCode>0</c:formatCode>
                <c:ptCount val="45"/>
                <c:pt idx="1">
                  <c:v>111872.42095484087</c:v>
                </c:pt>
                <c:pt idx="2">
                  <c:v>109332.32250804016</c:v>
                </c:pt>
                <c:pt idx="3">
                  <c:v>106849.89779408951</c:v>
                </c:pt>
                <c:pt idx="4">
                  <c:v>104423.83731277444</c:v>
                </c:pt>
                <c:pt idx="5">
                  <c:v>102052.86129649408</c:v>
                </c:pt>
                <c:pt idx="6">
                  <c:v>99735.719035172719</c:v>
                </c:pt>
                <c:pt idx="7">
                  <c:v>97471.188216499722</c:v>
                </c:pt>
                <c:pt idx="8">
                  <c:v>95258.074281149282</c:v>
                </c:pt>
                <c:pt idx="9">
                  <c:v>93095.209792640133</c:v>
                </c:pt>
                <c:pt idx="10">
                  <c:v>90981.453821502902</c:v>
                </c:pt>
                <c:pt idx="11">
                  <c:v>88915.691343430139</c:v>
                </c:pt>
                <c:pt idx="12">
                  <c:v>86896.83265109139</c:v>
                </c:pt>
                <c:pt idx="13">
                  <c:v>84923.812779303335</c:v>
                </c:pt>
                <c:pt idx="14">
                  <c:v>82995.590943251533</c:v>
                </c:pt>
                <c:pt idx="15">
                  <c:v>81111.149989467594</c:v>
                </c:pt>
                <c:pt idx="16">
                  <c:v>79269.495859271963</c:v>
                </c:pt>
                <c:pt idx="17">
                  <c:v>77469.657064399624</c:v>
                </c:pt>
                <c:pt idx="18">
                  <c:v>75710.68417453162</c:v>
                </c:pt>
                <c:pt idx="19">
                  <c:v>73991.649316462557</c:v>
                </c:pt>
                <c:pt idx="20">
                  <c:v>72311.645684639501</c:v>
                </c:pt>
                <c:pt idx="21">
                  <c:v>70669.787062814386</c:v>
                </c:pt>
                <c:pt idx="22">
                  <c:v>69065.207356557235</c:v>
                </c:pt>
                <c:pt idx="23">
                  <c:v>67497.060136384214</c:v>
                </c:pt>
                <c:pt idx="24">
                  <c:v>65964.518191258612</c:v>
                </c:pt>
                <c:pt idx="25">
                  <c:v>64466.77309223004</c:v>
                </c:pt>
                <c:pt idx="26">
                  <c:v>63003.034765981349</c:v>
                </c:pt>
                <c:pt idx="27">
                  <c:v>61572.531078058099</c:v>
                </c:pt>
                <c:pt idx="28">
                  <c:v>60174.507425561125</c:v>
                </c:pt>
                <c:pt idx="29">
                  <c:v>58808.226339087058</c:v>
                </c:pt>
                <c:pt idx="30">
                  <c:v>57472.967093706815</c:v>
                </c:pt>
                <c:pt idx="31">
                  <c:v>56168.025328777265</c:v>
                </c:pt>
                <c:pt idx="32">
                  <c:v>54892.712676384755</c:v>
                </c:pt>
                <c:pt idx="33">
                  <c:v>53646.356398225296</c:v>
                </c:pt>
                <c:pt idx="34">
                  <c:v>52428.29903072938</c:v>
                </c:pt>
                <c:pt idx="35">
                  <c:v>51237.898038244224</c:v>
                </c:pt>
                <c:pt idx="36">
                  <c:v>50074.525474090857</c:v>
                </c:pt>
                <c:pt idx="37">
                  <c:v>48937.567649316821</c:v>
                </c:pt>
                <c:pt idx="38">
                  <c:v>47826.424808970012</c:v>
                </c:pt>
                <c:pt idx="39">
                  <c:v>46740.51081572289</c:v>
                </c:pt>
                <c:pt idx="40">
                  <c:v>45679.252840679917</c:v>
                </c:pt>
                <c:pt idx="41">
                  <c:v>0</c:v>
                </c:pt>
                <c:pt idx="42">
                  <c:v>0</c:v>
                </c:pt>
                <c:pt idx="44">
                  <c:v>2960995.3804218341</c:v>
                </c:pt>
              </c:numCache>
            </c:numRef>
          </c:val>
          <c:extLst>
            <c:ext xmlns:c16="http://schemas.microsoft.com/office/drawing/2014/chart" uri="{C3380CC4-5D6E-409C-BE32-E72D297353CC}">
              <c16:uniqueId val="{00000000-298C-4BB5-8B99-89174953163E}"/>
            </c:ext>
          </c:extLst>
        </c:ser>
        <c:ser>
          <c:idx val="1"/>
          <c:order val="1"/>
          <c:tx>
            <c:strRef>
              <c:f>NuvLångSkärm!$K$2</c:f>
              <c:strCache>
                <c:ptCount val="1"/>
                <c:pt idx="0">
                  <c:v>Nytta ute</c:v>
                </c:pt>
              </c:strCache>
            </c:strRef>
          </c:tx>
          <c:spPr>
            <a:solidFill>
              <a:schemeClr val="accent2"/>
            </a:solidFill>
            <a:ln>
              <a:noFill/>
            </a:ln>
            <a:effectLst/>
          </c:spPr>
          <c:invertIfNegative val="0"/>
          <c:cat>
            <c:strRef>
              <c:f>NuvLångSkärm!$I$3:$I$47</c:f>
              <c:strCache>
                <c:ptCount val="4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4">
                  <c:v>Summa kalkylperioden</c:v>
                </c:pt>
              </c:strCache>
            </c:strRef>
          </c:cat>
          <c:val>
            <c:numRef>
              <c:f>NuvLångSkärm!$K$3:$K$47</c:f>
              <c:numCache>
                <c:formatCode>0</c:formatCode>
                <c:ptCount val="45"/>
                <c:pt idx="0">
                  <c:v>0</c:v>
                </c:pt>
                <c:pt idx="1">
                  <c:v>104101.64660127387</c:v>
                </c:pt>
                <c:pt idx="2">
                  <c:v>101737.98602626911</c:v>
                </c:pt>
                <c:pt idx="3">
                  <c:v>99427.993106832102</c:v>
                </c:pt>
                <c:pt idx="4">
                  <c:v>97170.449301991001</c:v>
                </c:pt>
                <c:pt idx="5">
                  <c:v>94964.163738129384</c:v>
                </c:pt>
                <c:pt idx="6">
                  <c:v>92807.972580790214</c:v>
                </c:pt>
                <c:pt idx="7">
                  <c:v>90700.738420743306</c:v>
                </c:pt>
                <c:pt idx="8">
                  <c:v>88641.349673992168</c:v>
                </c:pt>
                <c:pt idx="9">
                  <c:v>86628.719995403953</c:v>
                </c:pt>
                <c:pt idx="10">
                  <c:v>84661.787705653245</c:v>
                </c:pt>
                <c:pt idx="11">
                  <c:v>82739.515231177065</c:v>
                </c:pt>
                <c:pt idx="12">
                  <c:v>80860.88855684601</c:v>
                </c:pt>
                <c:pt idx="13">
                  <c:v>79024.916691062564</c:v>
                </c:pt>
                <c:pt idx="14">
                  <c:v>77230.631143004619</c:v>
                </c:pt>
                <c:pt idx="15">
                  <c:v>75477.085411738357</c:v>
                </c:pt>
                <c:pt idx="16">
                  <c:v>73763.354486930781</c:v>
                </c:pt>
                <c:pt idx="17">
                  <c:v>72088.534360899037</c:v>
                </c:pt>
                <c:pt idx="18">
                  <c:v>70451.741551738538</c:v>
                </c:pt>
                <c:pt idx="19">
                  <c:v>68852.112637278799</c:v>
                </c:pt>
                <c:pt idx="20">
                  <c:v>67288.803799620771</c:v>
                </c:pt>
                <c:pt idx="21">
                  <c:v>65760.990380015894</c:v>
                </c:pt>
                <c:pt idx="22">
                  <c:v>64267.866443851271</c:v>
                </c:pt>
                <c:pt idx="23">
                  <c:v>62808.644355512624</c:v>
                </c:pt>
                <c:pt idx="24">
                  <c:v>61382.554362899566</c:v>
                </c:pt>
                <c:pt idx="25">
                  <c:v>59988.844191374796</c:v>
                </c:pt>
                <c:pt idx="26">
                  <c:v>58626.778646932966</c:v>
                </c:pt>
                <c:pt idx="27">
                  <c:v>57295.639228379412</c:v>
                </c:pt>
                <c:pt idx="28">
                  <c:v>55994.723748314762</c:v>
                </c:pt>
                <c:pt idx="29">
                  <c:v>54723.345962725027</c:v>
                </c:pt>
                <c:pt idx="30">
                  <c:v>53480.835208981996</c:v>
                </c:pt>
                <c:pt idx="31">
                  <c:v>52266.5360520631</c:v>
                </c:pt>
                <c:pt idx="32">
                  <c:v>51079.807938803708</c:v>
                </c:pt>
                <c:pt idx="33">
                  <c:v>49920.024859999961</c:v>
                </c:pt>
                <c:pt idx="34">
                  <c:v>48786.575020183547</c:v>
                </c:pt>
                <c:pt idx="35">
                  <c:v>47678.860514894361</c:v>
                </c:pt>
                <c:pt idx="36">
                  <c:v>46596.297015280827</c:v>
                </c:pt>
                <c:pt idx="37">
                  <c:v>45538.313459861412</c:v>
                </c:pt>
                <c:pt idx="38">
                  <c:v>44504.351753284849</c:v>
                </c:pt>
                <c:pt idx="39">
                  <c:v>43493.866471930087</c:v>
                </c:pt>
                <c:pt idx="40">
                  <c:v>42506.324576190622</c:v>
                </c:pt>
                <c:pt idx="41">
                  <c:v>0</c:v>
                </c:pt>
                <c:pt idx="42">
                  <c:v>0</c:v>
                </c:pt>
                <c:pt idx="44">
                  <c:v>2755321.5712128552</c:v>
                </c:pt>
              </c:numCache>
            </c:numRef>
          </c:val>
          <c:extLst>
            <c:ext xmlns:c16="http://schemas.microsoft.com/office/drawing/2014/chart" uri="{C3380CC4-5D6E-409C-BE32-E72D297353CC}">
              <c16:uniqueId val="{00000001-298C-4BB5-8B99-89174953163E}"/>
            </c:ext>
          </c:extLst>
        </c:ser>
        <c:ser>
          <c:idx val="2"/>
          <c:order val="2"/>
          <c:tx>
            <c:strRef>
              <c:f>NuvLångSkärm!$L$2</c:f>
              <c:strCache>
                <c:ptCount val="1"/>
                <c:pt idx="0">
                  <c:v>Investering skärm</c:v>
                </c:pt>
              </c:strCache>
            </c:strRef>
          </c:tx>
          <c:spPr>
            <a:solidFill>
              <a:schemeClr val="accent3"/>
            </a:solidFill>
            <a:ln>
              <a:noFill/>
            </a:ln>
            <a:effectLst/>
          </c:spPr>
          <c:invertIfNegative val="0"/>
          <c:cat>
            <c:strRef>
              <c:f>NuvLångSkärm!$I$3:$I$47</c:f>
              <c:strCache>
                <c:ptCount val="4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4">
                  <c:v>Summa kalkylperioden</c:v>
                </c:pt>
              </c:strCache>
            </c:strRef>
          </c:cat>
          <c:val>
            <c:numRef>
              <c:f>NuvLångSkärm!$L$3:$L$47</c:f>
              <c:numCache>
                <c:formatCode>0</c:formatCode>
                <c:ptCount val="45"/>
                <c:pt idx="0">
                  <c:v>0</c:v>
                </c:pt>
                <c:pt idx="44">
                  <c:v>0</c:v>
                </c:pt>
              </c:numCache>
            </c:numRef>
          </c:val>
          <c:extLst>
            <c:ext xmlns:c16="http://schemas.microsoft.com/office/drawing/2014/chart" uri="{C3380CC4-5D6E-409C-BE32-E72D297353CC}">
              <c16:uniqueId val="{00000002-298C-4BB5-8B99-89174953163E}"/>
            </c:ext>
          </c:extLst>
        </c:ser>
        <c:ser>
          <c:idx val="3"/>
          <c:order val="3"/>
          <c:tx>
            <c:strRef>
              <c:f>NuvLångSkärm!#REF!</c:f>
              <c:strCache>
                <c:ptCount val="1"/>
                <c:pt idx="0">
                  <c:v>#REF!</c:v>
                </c:pt>
              </c:strCache>
            </c:strRef>
          </c:tx>
          <c:spPr>
            <a:solidFill>
              <a:schemeClr val="accent4"/>
            </a:solidFill>
            <a:ln>
              <a:noFill/>
            </a:ln>
            <a:effectLst/>
          </c:spPr>
          <c:invertIfNegative val="0"/>
          <c:cat>
            <c:strRef>
              <c:f>NuvLångSkärm!$I$3:$I$47</c:f>
              <c:strCache>
                <c:ptCount val="4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4">
                  <c:v>Summa kalkylperioden</c:v>
                </c:pt>
              </c:strCache>
            </c:strRef>
          </c:cat>
          <c:val>
            <c:numRef>
              <c:f>NuvLångSkärm!#REF!</c:f>
              <c:numCache>
                <c:formatCode>General</c:formatCode>
                <c:ptCount val="1"/>
                <c:pt idx="0">
                  <c:v>1</c:v>
                </c:pt>
              </c:numCache>
            </c:numRef>
          </c:val>
          <c:extLst>
            <c:ext xmlns:c16="http://schemas.microsoft.com/office/drawing/2014/chart" uri="{C3380CC4-5D6E-409C-BE32-E72D297353CC}">
              <c16:uniqueId val="{00000003-298C-4BB5-8B99-89174953163E}"/>
            </c:ext>
          </c:extLst>
        </c:ser>
        <c:ser>
          <c:idx val="4"/>
          <c:order val="4"/>
          <c:tx>
            <c:strRef>
              <c:f>NuvLångSkärm!#REF!</c:f>
              <c:strCache>
                <c:ptCount val="1"/>
                <c:pt idx="0">
                  <c:v>#REF!</c:v>
                </c:pt>
              </c:strCache>
            </c:strRef>
          </c:tx>
          <c:spPr>
            <a:solidFill>
              <a:schemeClr val="accent5"/>
            </a:solidFill>
            <a:ln>
              <a:noFill/>
            </a:ln>
            <a:effectLst/>
          </c:spPr>
          <c:invertIfNegative val="0"/>
          <c:cat>
            <c:strRef>
              <c:f>NuvLångSkärm!$I$3:$I$47</c:f>
              <c:strCache>
                <c:ptCount val="4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4">
                  <c:v>Summa kalkylperioden</c:v>
                </c:pt>
              </c:strCache>
            </c:strRef>
          </c:cat>
          <c:val>
            <c:numRef>
              <c:f>NuvLångSkärm!#REF!</c:f>
              <c:numCache>
                <c:formatCode>General</c:formatCode>
                <c:ptCount val="1"/>
                <c:pt idx="0">
                  <c:v>1</c:v>
                </c:pt>
              </c:numCache>
            </c:numRef>
          </c:val>
          <c:extLst>
            <c:ext xmlns:c16="http://schemas.microsoft.com/office/drawing/2014/chart" uri="{C3380CC4-5D6E-409C-BE32-E72D297353CC}">
              <c16:uniqueId val="{00000004-298C-4BB5-8B99-89174953163E}"/>
            </c:ext>
          </c:extLst>
        </c:ser>
        <c:ser>
          <c:idx val="5"/>
          <c:order val="5"/>
          <c:tx>
            <c:strRef>
              <c:f>NuvLångSkärm!#REF!</c:f>
              <c:strCache>
                <c:ptCount val="1"/>
                <c:pt idx="0">
                  <c:v>#REF!</c:v>
                </c:pt>
              </c:strCache>
            </c:strRef>
          </c:tx>
          <c:spPr>
            <a:solidFill>
              <a:schemeClr val="accent6"/>
            </a:solidFill>
            <a:ln>
              <a:noFill/>
            </a:ln>
            <a:effectLst/>
          </c:spPr>
          <c:invertIfNegative val="0"/>
          <c:cat>
            <c:strRef>
              <c:f>NuvLångSkärm!$I$3:$I$47</c:f>
              <c:strCache>
                <c:ptCount val="4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4">
                  <c:v>Summa kalkylperioden</c:v>
                </c:pt>
              </c:strCache>
            </c:strRef>
          </c:cat>
          <c:val>
            <c:numRef>
              <c:f>NuvLångSkärm!#REF!</c:f>
              <c:numCache>
                <c:formatCode>General</c:formatCode>
                <c:ptCount val="1"/>
                <c:pt idx="0">
                  <c:v>1</c:v>
                </c:pt>
              </c:numCache>
            </c:numRef>
          </c:val>
          <c:extLst>
            <c:ext xmlns:c16="http://schemas.microsoft.com/office/drawing/2014/chart" uri="{C3380CC4-5D6E-409C-BE32-E72D297353CC}">
              <c16:uniqueId val="{00000005-298C-4BB5-8B99-89174953163E}"/>
            </c:ext>
          </c:extLst>
        </c:ser>
        <c:ser>
          <c:idx val="6"/>
          <c:order val="6"/>
          <c:tx>
            <c:strRef>
              <c:f>NuvLångSkärm!$M$2</c:f>
              <c:strCache>
                <c:ptCount val="1"/>
                <c:pt idx="0">
                  <c:v>Underh Skärm</c:v>
                </c:pt>
              </c:strCache>
            </c:strRef>
          </c:tx>
          <c:spPr>
            <a:solidFill>
              <a:schemeClr val="accent1">
                <a:lumMod val="60000"/>
              </a:schemeClr>
            </a:solidFill>
            <a:ln>
              <a:noFill/>
            </a:ln>
            <a:effectLst/>
          </c:spPr>
          <c:invertIfNegative val="0"/>
          <c:cat>
            <c:strRef>
              <c:f>NuvLångSkärm!$I$3:$I$47</c:f>
              <c:strCache>
                <c:ptCount val="4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4">
                  <c:v>Summa kalkylperioden</c:v>
                </c:pt>
              </c:strCache>
            </c:strRef>
          </c:cat>
          <c:val>
            <c:numRef>
              <c:f>NuvLångSkärm!$M$3:$M$47</c:f>
              <c:numCache>
                <c:formatCode>0</c:formatCode>
                <c:ptCount val="45"/>
                <c:pt idx="1">
                  <c:v>-40898.550724637687</c:v>
                </c:pt>
                <c:pt idx="2">
                  <c:v>-39515.507946509839</c:v>
                </c:pt>
                <c:pt idx="3">
                  <c:v>-38179.23473092739</c:v>
                </c:pt>
                <c:pt idx="4">
                  <c:v>-36888.149498480569</c:v>
                </c:pt>
                <c:pt idx="5">
                  <c:v>-35640.724153121329</c:v>
                </c:pt>
                <c:pt idx="6">
                  <c:v>-34435.482273547175</c:v>
                </c:pt>
                <c:pt idx="7">
                  <c:v>-33270.997365746065</c:v>
                </c:pt>
                <c:pt idx="8">
                  <c:v>-32145.891174633885</c:v>
                </c:pt>
                <c:pt idx="9">
                  <c:v>-31058.832052786369</c:v>
                </c:pt>
                <c:pt idx="10">
                  <c:v>-30008.533384334656</c:v>
                </c:pt>
                <c:pt idx="11">
                  <c:v>-28993.752062159088</c:v>
                </c:pt>
                <c:pt idx="12">
                  <c:v>-28013.28701657883</c:v>
                </c:pt>
                <c:pt idx="13">
                  <c:v>-27065.977793795977</c:v>
                </c:pt>
                <c:pt idx="14">
                  <c:v>-26150.703182411569</c:v>
                </c:pt>
                <c:pt idx="15">
                  <c:v>-25266.379886387993</c:v>
                </c:pt>
                <c:pt idx="16">
                  <c:v>-24411.961242886955</c:v>
                </c:pt>
                <c:pt idx="17">
                  <c:v>-23586.435983465657</c:v>
                </c:pt>
                <c:pt idx="18">
                  <c:v>-22788.827037164887</c:v>
                </c:pt>
                <c:pt idx="19">
                  <c:v>-22018.190374072357</c:v>
                </c:pt>
                <c:pt idx="20">
                  <c:v>-21273.613887992618</c:v>
                </c:pt>
                <c:pt idx="21">
                  <c:v>-20554.216316901086</c:v>
                </c:pt>
                <c:pt idx="22">
                  <c:v>-19859.14619990443</c:v>
                </c:pt>
                <c:pt idx="23">
                  <c:v>-19187.580869472877</c:v>
                </c:pt>
                <c:pt idx="24">
                  <c:v>-18538.725477751577</c:v>
                </c:pt>
                <c:pt idx="25">
                  <c:v>-17911.812055798626</c:v>
                </c:pt>
                <c:pt idx="26">
                  <c:v>-17306.098604636354</c:v>
                </c:pt>
                <c:pt idx="27">
                  <c:v>-16720.868217039955</c:v>
                </c:pt>
                <c:pt idx="28">
                  <c:v>-16155.428229024112</c:v>
                </c:pt>
                <c:pt idx="29">
                  <c:v>-15609.109400023301</c:v>
                </c:pt>
                <c:pt idx="30">
                  <c:v>-15081.265120795459</c:v>
                </c:pt>
                <c:pt idx="31">
                  <c:v>-14571.270648111555</c:v>
                </c:pt>
                <c:pt idx="32">
                  <c:v>-14078.522365325178</c:v>
                </c:pt>
                <c:pt idx="33">
                  <c:v>-13602.437067947034</c:v>
                </c:pt>
                <c:pt idx="34">
                  <c:v>-13142.451273378776</c:v>
                </c:pt>
                <c:pt idx="35">
                  <c:v>-12698.020553989158</c:v>
                </c:pt>
                <c:pt idx="36">
                  <c:v>-12268.618892743149</c:v>
                </c:pt>
                <c:pt idx="37">
                  <c:v>-11853.738060621399</c:v>
                </c:pt>
                <c:pt idx="38">
                  <c:v>-11452.88701509314</c:v>
                </c:pt>
                <c:pt idx="39">
                  <c:v>-11065.591318930572</c:v>
                </c:pt>
                <c:pt idx="40">
                  <c:v>-10691.392578676883</c:v>
                </c:pt>
                <c:pt idx="41">
                  <c:v>0</c:v>
                </c:pt>
                <c:pt idx="42">
                  <c:v>0</c:v>
                </c:pt>
                <c:pt idx="44">
                  <c:v>-903960.21203780547</c:v>
                </c:pt>
              </c:numCache>
            </c:numRef>
          </c:val>
          <c:extLst>
            <c:ext xmlns:c16="http://schemas.microsoft.com/office/drawing/2014/chart" uri="{C3380CC4-5D6E-409C-BE32-E72D297353CC}">
              <c16:uniqueId val="{00000006-298C-4BB5-8B99-89174953163E}"/>
            </c:ext>
          </c:extLst>
        </c:ser>
        <c:dLbls>
          <c:showLegendKey val="0"/>
          <c:showVal val="0"/>
          <c:showCatName val="0"/>
          <c:showSerName val="0"/>
          <c:showPercent val="0"/>
          <c:showBubbleSize val="0"/>
        </c:dLbls>
        <c:gapWidth val="41"/>
        <c:overlap val="100"/>
        <c:axId val="366794248"/>
        <c:axId val="366795032"/>
      </c:barChart>
      <c:catAx>
        <c:axId val="366794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366795032"/>
        <c:crosses val="autoZero"/>
        <c:auto val="1"/>
        <c:lblAlgn val="ctr"/>
        <c:lblOffset val="100"/>
        <c:noMultiLvlLbl val="0"/>
      </c:catAx>
      <c:valAx>
        <c:axId val="366795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366794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000000000000133" l="0.70000000000000062" r="0.70000000000000062" t="0.7500000000000013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stacked"/>
        <c:varyColors val="0"/>
        <c:ser>
          <c:idx val="0"/>
          <c:order val="0"/>
          <c:tx>
            <c:strRef>
              <c:f>NuvVall!$J$2</c:f>
              <c:strCache>
                <c:ptCount val="1"/>
                <c:pt idx="0">
                  <c:v>Nytta inne</c:v>
                </c:pt>
              </c:strCache>
            </c:strRef>
          </c:tx>
          <c:spPr>
            <a:solidFill>
              <a:schemeClr val="accent1"/>
            </a:solidFill>
            <a:ln>
              <a:noFill/>
            </a:ln>
            <a:effectLst/>
          </c:spPr>
          <c:invertIfNegative val="0"/>
          <c:cat>
            <c:strRef>
              <c:f>NuvVall!$I$3:$I$46</c:f>
              <c:strCache>
                <c:ptCount val="4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3">
                  <c:v>Summa kalkylperiod</c:v>
                </c:pt>
              </c:strCache>
            </c:strRef>
          </c:cat>
          <c:val>
            <c:numRef>
              <c:f>NuvVall!$J$3:$J$46</c:f>
              <c:numCache>
                <c:formatCode>0</c:formatCode>
                <c:ptCount val="44"/>
                <c:pt idx="1">
                  <c:v>111872.42095484087</c:v>
                </c:pt>
                <c:pt idx="2">
                  <c:v>109332.32250804016</c:v>
                </c:pt>
                <c:pt idx="3">
                  <c:v>106849.89779408951</c:v>
                </c:pt>
                <c:pt idx="4">
                  <c:v>104423.83731277444</c:v>
                </c:pt>
                <c:pt idx="5">
                  <c:v>102052.86129649408</c:v>
                </c:pt>
                <c:pt idx="6">
                  <c:v>99735.719035172719</c:v>
                </c:pt>
                <c:pt idx="7">
                  <c:v>97471.188216499722</c:v>
                </c:pt>
                <c:pt idx="8">
                  <c:v>95258.074281149282</c:v>
                </c:pt>
                <c:pt idx="9">
                  <c:v>93095.209792640133</c:v>
                </c:pt>
                <c:pt idx="10">
                  <c:v>90981.453821502902</c:v>
                </c:pt>
                <c:pt idx="11">
                  <c:v>88915.691343430139</c:v>
                </c:pt>
                <c:pt idx="12">
                  <c:v>86896.83265109139</c:v>
                </c:pt>
                <c:pt idx="13">
                  <c:v>84923.812779303335</c:v>
                </c:pt>
                <c:pt idx="14">
                  <c:v>82995.590943251533</c:v>
                </c:pt>
                <c:pt idx="15">
                  <c:v>81111.149989467594</c:v>
                </c:pt>
                <c:pt idx="16">
                  <c:v>79269.495859271963</c:v>
                </c:pt>
                <c:pt idx="17">
                  <c:v>77469.657064399624</c:v>
                </c:pt>
                <c:pt idx="18">
                  <c:v>75710.68417453162</c:v>
                </c:pt>
                <c:pt idx="19">
                  <c:v>73991.649316462557</c:v>
                </c:pt>
                <c:pt idx="20">
                  <c:v>72311.645684639501</c:v>
                </c:pt>
                <c:pt idx="21">
                  <c:v>70669.787062814386</c:v>
                </c:pt>
                <c:pt idx="22">
                  <c:v>69065.207356557235</c:v>
                </c:pt>
                <c:pt idx="23">
                  <c:v>67497.060136384214</c:v>
                </c:pt>
                <c:pt idx="24">
                  <c:v>65964.518191258612</c:v>
                </c:pt>
                <c:pt idx="25">
                  <c:v>64466.77309223004</c:v>
                </c:pt>
                <c:pt idx="26">
                  <c:v>63003.034765981349</c:v>
                </c:pt>
                <c:pt idx="27">
                  <c:v>61572.531078058099</c:v>
                </c:pt>
                <c:pt idx="28">
                  <c:v>60174.507425561125</c:v>
                </c:pt>
                <c:pt idx="29">
                  <c:v>58808.226339087058</c:v>
                </c:pt>
                <c:pt idx="30">
                  <c:v>57472.967093706815</c:v>
                </c:pt>
                <c:pt idx="31">
                  <c:v>56168.025328777265</c:v>
                </c:pt>
                <c:pt idx="32">
                  <c:v>54892.712676384755</c:v>
                </c:pt>
                <c:pt idx="33">
                  <c:v>53646.356398225296</c:v>
                </c:pt>
                <c:pt idx="34">
                  <c:v>52428.29903072938</c:v>
                </c:pt>
                <c:pt idx="35">
                  <c:v>51237.898038244224</c:v>
                </c:pt>
                <c:pt idx="36">
                  <c:v>50074.525474090857</c:v>
                </c:pt>
                <c:pt idx="37">
                  <c:v>48937.567649316821</c:v>
                </c:pt>
                <c:pt idx="38">
                  <c:v>47826.424808970012</c:v>
                </c:pt>
                <c:pt idx="39">
                  <c:v>46740.51081572289</c:v>
                </c:pt>
                <c:pt idx="40">
                  <c:v>45679.252840679917</c:v>
                </c:pt>
                <c:pt idx="41">
                  <c:v>44134.543807420217</c:v>
                </c:pt>
                <c:pt idx="43">
                  <c:v>3005129.9242292545</c:v>
                </c:pt>
              </c:numCache>
            </c:numRef>
          </c:val>
          <c:extLst>
            <c:ext xmlns:c16="http://schemas.microsoft.com/office/drawing/2014/chart" uri="{C3380CC4-5D6E-409C-BE32-E72D297353CC}">
              <c16:uniqueId val="{00000000-8A7C-4E7F-A0B6-1A91EAC113DA}"/>
            </c:ext>
          </c:extLst>
        </c:ser>
        <c:ser>
          <c:idx val="1"/>
          <c:order val="1"/>
          <c:tx>
            <c:strRef>
              <c:f>NuvVall!$K$2</c:f>
              <c:strCache>
                <c:ptCount val="1"/>
                <c:pt idx="0">
                  <c:v>Nytta ute</c:v>
                </c:pt>
              </c:strCache>
            </c:strRef>
          </c:tx>
          <c:spPr>
            <a:solidFill>
              <a:schemeClr val="accent2"/>
            </a:solidFill>
            <a:ln>
              <a:noFill/>
            </a:ln>
            <a:effectLst/>
          </c:spPr>
          <c:invertIfNegative val="0"/>
          <c:cat>
            <c:strRef>
              <c:f>NuvVall!$I$3:$I$46</c:f>
              <c:strCache>
                <c:ptCount val="4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3">
                  <c:v>Summa kalkylperiod</c:v>
                </c:pt>
              </c:strCache>
            </c:strRef>
          </c:cat>
          <c:val>
            <c:numRef>
              <c:f>NuvVall!$K$3:$K$46</c:f>
              <c:numCache>
                <c:formatCode>0</c:formatCode>
                <c:ptCount val="44"/>
                <c:pt idx="1">
                  <c:v>104101.64660127387</c:v>
                </c:pt>
                <c:pt idx="2">
                  <c:v>101737.98602626911</c:v>
                </c:pt>
                <c:pt idx="3">
                  <c:v>99427.993106832102</c:v>
                </c:pt>
                <c:pt idx="4">
                  <c:v>97170.449301991001</c:v>
                </c:pt>
                <c:pt idx="5">
                  <c:v>94964.163738129384</c:v>
                </c:pt>
                <c:pt idx="6">
                  <c:v>92807.972580790214</c:v>
                </c:pt>
                <c:pt idx="7">
                  <c:v>90700.738420743306</c:v>
                </c:pt>
                <c:pt idx="8">
                  <c:v>88641.349673992168</c:v>
                </c:pt>
                <c:pt idx="9">
                  <c:v>86628.719995403953</c:v>
                </c:pt>
                <c:pt idx="10">
                  <c:v>84661.787705653245</c:v>
                </c:pt>
                <c:pt idx="11">
                  <c:v>82739.515231177065</c:v>
                </c:pt>
                <c:pt idx="12">
                  <c:v>80860.88855684601</c:v>
                </c:pt>
                <c:pt idx="13">
                  <c:v>79024.916691062564</c:v>
                </c:pt>
                <c:pt idx="14">
                  <c:v>77230.631143004619</c:v>
                </c:pt>
                <c:pt idx="15">
                  <c:v>75477.085411738357</c:v>
                </c:pt>
                <c:pt idx="16">
                  <c:v>73763.354486930781</c:v>
                </c:pt>
                <c:pt idx="17">
                  <c:v>72088.534360899037</c:v>
                </c:pt>
                <c:pt idx="18">
                  <c:v>70451.741551738538</c:v>
                </c:pt>
                <c:pt idx="19">
                  <c:v>68852.112637278799</c:v>
                </c:pt>
                <c:pt idx="20">
                  <c:v>67288.803799620771</c:v>
                </c:pt>
                <c:pt idx="21">
                  <c:v>65760.990380015894</c:v>
                </c:pt>
                <c:pt idx="22">
                  <c:v>64267.866443851271</c:v>
                </c:pt>
                <c:pt idx="23">
                  <c:v>62808.644355512624</c:v>
                </c:pt>
                <c:pt idx="24">
                  <c:v>61382.554362899566</c:v>
                </c:pt>
                <c:pt idx="25">
                  <c:v>59988.844191374796</c:v>
                </c:pt>
                <c:pt idx="26">
                  <c:v>58626.778646932966</c:v>
                </c:pt>
                <c:pt idx="27">
                  <c:v>57295.639228379412</c:v>
                </c:pt>
                <c:pt idx="28">
                  <c:v>55994.723748314762</c:v>
                </c:pt>
                <c:pt idx="29">
                  <c:v>54723.345962725027</c:v>
                </c:pt>
                <c:pt idx="30">
                  <c:v>53480.835208981996</c:v>
                </c:pt>
                <c:pt idx="31">
                  <c:v>52266.5360520631</c:v>
                </c:pt>
                <c:pt idx="32">
                  <c:v>51079.807938803708</c:v>
                </c:pt>
                <c:pt idx="33">
                  <c:v>49920.024859999961</c:v>
                </c:pt>
                <c:pt idx="34">
                  <c:v>48786.575020183547</c:v>
                </c:pt>
                <c:pt idx="35">
                  <c:v>47678.860514894361</c:v>
                </c:pt>
                <c:pt idx="36">
                  <c:v>46596.297015280827</c:v>
                </c:pt>
                <c:pt idx="37">
                  <c:v>45538.313459861412</c:v>
                </c:pt>
                <c:pt idx="38">
                  <c:v>44504.351753284849</c:v>
                </c:pt>
                <c:pt idx="39">
                  <c:v>43493.866471930087</c:v>
                </c:pt>
                <c:pt idx="40">
                  <c:v>42506.324576190622</c:v>
                </c:pt>
                <c:pt idx="41">
                  <c:v>41068.912634000611</c:v>
                </c:pt>
                <c:pt idx="43">
                  <c:v>2796390.4838468558</c:v>
                </c:pt>
              </c:numCache>
            </c:numRef>
          </c:val>
          <c:extLst>
            <c:ext xmlns:c16="http://schemas.microsoft.com/office/drawing/2014/chart" uri="{C3380CC4-5D6E-409C-BE32-E72D297353CC}">
              <c16:uniqueId val="{00000001-8A7C-4E7F-A0B6-1A91EAC113DA}"/>
            </c:ext>
          </c:extLst>
        </c:ser>
        <c:ser>
          <c:idx val="2"/>
          <c:order val="2"/>
          <c:tx>
            <c:strRef>
              <c:f>NuvVall!$L$2</c:f>
              <c:strCache>
                <c:ptCount val="1"/>
                <c:pt idx="0">
                  <c:v>Investering vall</c:v>
                </c:pt>
              </c:strCache>
            </c:strRef>
          </c:tx>
          <c:spPr>
            <a:solidFill>
              <a:schemeClr val="accent3"/>
            </a:solidFill>
            <a:ln>
              <a:noFill/>
            </a:ln>
            <a:effectLst/>
          </c:spPr>
          <c:invertIfNegative val="0"/>
          <c:cat>
            <c:strRef>
              <c:f>NuvVall!$I$3:$I$46</c:f>
              <c:strCache>
                <c:ptCount val="4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3">
                  <c:v>Summa kalkylperiod</c:v>
                </c:pt>
              </c:strCache>
            </c:strRef>
          </c:cat>
          <c:val>
            <c:numRef>
              <c:f>NuvVall!$L$3:$L$46</c:f>
              <c:numCache>
                <c:formatCode>0</c:formatCode>
                <c:ptCount val="44"/>
                <c:pt idx="0">
                  <c:v>0</c:v>
                </c:pt>
                <c:pt idx="43">
                  <c:v>0</c:v>
                </c:pt>
              </c:numCache>
            </c:numRef>
          </c:val>
          <c:extLst>
            <c:ext xmlns:c16="http://schemas.microsoft.com/office/drawing/2014/chart" uri="{C3380CC4-5D6E-409C-BE32-E72D297353CC}">
              <c16:uniqueId val="{00000002-8A7C-4E7F-A0B6-1A91EAC113DA}"/>
            </c:ext>
          </c:extLst>
        </c:ser>
        <c:ser>
          <c:idx val="3"/>
          <c:order val="3"/>
          <c:tx>
            <c:strRef>
              <c:f>NuvVall!#REF!</c:f>
              <c:strCache>
                <c:ptCount val="1"/>
                <c:pt idx="0">
                  <c:v>#REF!</c:v>
                </c:pt>
              </c:strCache>
            </c:strRef>
          </c:tx>
          <c:spPr>
            <a:solidFill>
              <a:schemeClr val="accent4"/>
            </a:solidFill>
            <a:ln>
              <a:noFill/>
            </a:ln>
            <a:effectLst/>
          </c:spPr>
          <c:invertIfNegative val="0"/>
          <c:cat>
            <c:strRef>
              <c:f>NuvVall!$I$3:$I$46</c:f>
              <c:strCache>
                <c:ptCount val="4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3">
                  <c:v>Summa kalkylperiod</c:v>
                </c:pt>
              </c:strCache>
            </c:strRef>
          </c:cat>
          <c:val>
            <c:numRef>
              <c:f>NuvVall!#REF!</c:f>
              <c:numCache>
                <c:formatCode>General</c:formatCode>
                <c:ptCount val="1"/>
                <c:pt idx="0">
                  <c:v>1</c:v>
                </c:pt>
              </c:numCache>
            </c:numRef>
          </c:val>
          <c:extLst>
            <c:ext xmlns:c16="http://schemas.microsoft.com/office/drawing/2014/chart" uri="{C3380CC4-5D6E-409C-BE32-E72D297353CC}">
              <c16:uniqueId val="{00000003-8A7C-4E7F-A0B6-1A91EAC113DA}"/>
            </c:ext>
          </c:extLst>
        </c:ser>
        <c:ser>
          <c:idx val="4"/>
          <c:order val="4"/>
          <c:tx>
            <c:strRef>
              <c:f>NuvVall!#REF!</c:f>
              <c:strCache>
                <c:ptCount val="1"/>
                <c:pt idx="0">
                  <c:v>#REF!</c:v>
                </c:pt>
              </c:strCache>
            </c:strRef>
          </c:tx>
          <c:spPr>
            <a:solidFill>
              <a:schemeClr val="accent5"/>
            </a:solidFill>
            <a:ln>
              <a:noFill/>
            </a:ln>
            <a:effectLst/>
          </c:spPr>
          <c:invertIfNegative val="0"/>
          <c:cat>
            <c:strRef>
              <c:f>NuvVall!$I$3:$I$46</c:f>
              <c:strCache>
                <c:ptCount val="4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3">
                  <c:v>Summa kalkylperiod</c:v>
                </c:pt>
              </c:strCache>
            </c:strRef>
          </c:cat>
          <c:val>
            <c:numRef>
              <c:f>NuvVall!#REF!</c:f>
              <c:numCache>
                <c:formatCode>General</c:formatCode>
                <c:ptCount val="1"/>
                <c:pt idx="0">
                  <c:v>1</c:v>
                </c:pt>
              </c:numCache>
            </c:numRef>
          </c:val>
          <c:extLst>
            <c:ext xmlns:c16="http://schemas.microsoft.com/office/drawing/2014/chart" uri="{C3380CC4-5D6E-409C-BE32-E72D297353CC}">
              <c16:uniqueId val="{00000004-8A7C-4E7F-A0B6-1A91EAC113DA}"/>
            </c:ext>
          </c:extLst>
        </c:ser>
        <c:ser>
          <c:idx val="5"/>
          <c:order val="5"/>
          <c:tx>
            <c:strRef>
              <c:f>NuvVall!#REF!</c:f>
              <c:strCache>
                <c:ptCount val="1"/>
                <c:pt idx="0">
                  <c:v>#REF!</c:v>
                </c:pt>
              </c:strCache>
            </c:strRef>
          </c:tx>
          <c:spPr>
            <a:solidFill>
              <a:schemeClr val="accent6"/>
            </a:solidFill>
            <a:ln>
              <a:noFill/>
            </a:ln>
            <a:effectLst/>
          </c:spPr>
          <c:invertIfNegative val="0"/>
          <c:cat>
            <c:strRef>
              <c:f>NuvVall!$I$3:$I$46</c:f>
              <c:strCache>
                <c:ptCount val="4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3">
                  <c:v>Summa kalkylperiod</c:v>
                </c:pt>
              </c:strCache>
            </c:strRef>
          </c:cat>
          <c:val>
            <c:numRef>
              <c:f>NuvVall!#REF!</c:f>
              <c:numCache>
                <c:formatCode>General</c:formatCode>
                <c:ptCount val="1"/>
                <c:pt idx="0">
                  <c:v>1</c:v>
                </c:pt>
              </c:numCache>
            </c:numRef>
          </c:val>
          <c:extLst>
            <c:ext xmlns:c16="http://schemas.microsoft.com/office/drawing/2014/chart" uri="{C3380CC4-5D6E-409C-BE32-E72D297353CC}">
              <c16:uniqueId val="{00000005-8A7C-4E7F-A0B6-1A91EAC113DA}"/>
            </c:ext>
          </c:extLst>
        </c:ser>
        <c:ser>
          <c:idx val="6"/>
          <c:order val="6"/>
          <c:tx>
            <c:strRef>
              <c:f>NuvVall!#REF!</c:f>
              <c:strCache>
                <c:ptCount val="1"/>
                <c:pt idx="0">
                  <c:v>#REF!</c:v>
                </c:pt>
              </c:strCache>
            </c:strRef>
          </c:tx>
          <c:spPr>
            <a:solidFill>
              <a:schemeClr val="accent1">
                <a:lumMod val="60000"/>
              </a:schemeClr>
            </a:solidFill>
            <a:ln>
              <a:noFill/>
            </a:ln>
            <a:effectLst/>
          </c:spPr>
          <c:invertIfNegative val="0"/>
          <c:cat>
            <c:strRef>
              <c:f>NuvVall!$I$3:$I$46</c:f>
              <c:strCache>
                <c:ptCount val="4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3">
                  <c:v>Summa kalkylperiod</c:v>
                </c:pt>
              </c:strCache>
            </c:strRef>
          </c:cat>
          <c:val>
            <c:numRef>
              <c:f>NuvVall!#REF!</c:f>
              <c:numCache>
                <c:formatCode>General</c:formatCode>
                <c:ptCount val="1"/>
                <c:pt idx="0">
                  <c:v>1</c:v>
                </c:pt>
              </c:numCache>
            </c:numRef>
          </c:val>
          <c:extLst>
            <c:ext xmlns:c16="http://schemas.microsoft.com/office/drawing/2014/chart" uri="{C3380CC4-5D6E-409C-BE32-E72D297353CC}">
              <c16:uniqueId val="{00000006-8A7C-4E7F-A0B6-1A91EAC113DA}"/>
            </c:ext>
          </c:extLst>
        </c:ser>
        <c:ser>
          <c:idx val="7"/>
          <c:order val="7"/>
          <c:tx>
            <c:strRef>
              <c:f>NuvVall!$M$2</c:f>
              <c:strCache>
                <c:ptCount val="1"/>
                <c:pt idx="0">
                  <c:v>Underhåll</c:v>
                </c:pt>
              </c:strCache>
            </c:strRef>
          </c:tx>
          <c:spPr>
            <a:solidFill>
              <a:schemeClr val="accent2">
                <a:lumMod val="60000"/>
              </a:schemeClr>
            </a:solidFill>
            <a:ln>
              <a:noFill/>
            </a:ln>
            <a:effectLst/>
          </c:spPr>
          <c:invertIfNegative val="0"/>
          <c:cat>
            <c:strRef>
              <c:f>NuvVall!$I$3:$I$46</c:f>
              <c:strCache>
                <c:ptCount val="4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3">
                  <c:v>Summa kalkylperiod</c:v>
                </c:pt>
              </c:strCache>
            </c:strRef>
          </c:cat>
          <c:val>
            <c:numRef>
              <c:f>NuvVall!$M$3:$M$46</c:f>
              <c:numCache>
                <c:formatCode>0</c:formatCode>
                <c:ptCount val="44"/>
                <c:pt idx="1">
                  <c:v>-20579.710144927536</c:v>
                </c:pt>
                <c:pt idx="2">
                  <c:v>-19883.777917804386</c:v>
                </c:pt>
                <c:pt idx="3">
                  <c:v>-19211.379630728876</c:v>
                </c:pt>
                <c:pt idx="4">
                  <c:v>-18561.719449979591</c:v>
                </c:pt>
                <c:pt idx="5">
                  <c:v>-17934.028454086565</c:v>
                </c:pt>
                <c:pt idx="6">
                  <c:v>-17327.563723755135</c:v>
                </c:pt>
                <c:pt idx="7">
                  <c:v>-16741.607462565349</c:v>
                </c:pt>
                <c:pt idx="8">
                  <c:v>-16175.466147406138</c:v>
                </c:pt>
                <c:pt idx="9">
                  <c:v>-15628.469707638782</c:v>
                </c:pt>
                <c:pt idx="10">
                  <c:v>-15099.970732018148</c:v>
                </c:pt>
                <c:pt idx="11">
                  <c:v>-14589.343702432992</c:v>
                </c:pt>
                <c:pt idx="12">
                  <c:v>-14095.984253558447</c:v>
                </c:pt>
                <c:pt idx="13">
                  <c:v>-13619.308457544397</c:v>
                </c:pt>
                <c:pt idx="14">
                  <c:v>-13158.752132893136</c:v>
                </c:pt>
                <c:pt idx="15">
                  <c:v>-12713.770176708345</c:v>
                </c:pt>
                <c:pt idx="16">
                  <c:v>-12283.835919524974</c:v>
                </c:pt>
                <c:pt idx="17">
                  <c:v>-11868.440501956497</c:v>
                </c:pt>
                <c:pt idx="18">
                  <c:v>-11467.092272421736</c:v>
                </c:pt>
                <c:pt idx="19">
                  <c:v>-11079.316205238394</c:v>
                </c:pt>
                <c:pt idx="20">
                  <c:v>-10704.653338394584</c:v>
                </c:pt>
                <c:pt idx="21">
                  <c:v>-10342.660230332935</c:v>
                </c:pt>
                <c:pt idx="22">
                  <c:v>-9992.9084351042839</c:v>
                </c:pt>
                <c:pt idx="23">
                  <c:v>-9654.9839952698403</c:v>
                </c:pt>
                <c:pt idx="24">
                  <c:v>-9328.4869519515378</c:v>
                </c:pt>
                <c:pt idx="25">
                  <c:v>-9013.0308714507628</c:v>
                </c:pt>
                <c:pt idx="26">
                  <c:v>-8708.2423878751324</c:v>
                </c:pt>
                <c:pt idx="27">
                  <c:v>-8413.7607612320116</c:v>
                </c:pt>
                <c:pt idx="28">
                  <c:v>-8129.2374504657118</c:v>
                </c:pt>
                <c:pt idx="29">
                  <c:v>-7854.3357009330575</c:v>
                </c:pt>
                <c:pt idx="30">
                  <c:v>-7588.7301458290403</c:v>
                </c:pt>
                <c:pt idx="31">
                  <c:v>-7332.1064210908607</c:v>
                </c:pt>
                <c:pt idx="32">
                  <c:v>-7084.160793324505</c:v>
                </c:pt>
                <c:pt idx="33">
                  <c:v>-6844.5998003135319</c:v>
                </c:pt>
                <c:pt idx="34">
                  <c:v>-6613.1399036845723</c:v>
                </c:pt>
                <c:pt idx="35">
                  <c:v>-6389.5071533184282</c:v>
                </c:pt>
                <c:pt idx="36">
                  <c:v>-6173.4368631095922</c:v>
                </c:pt>
                <c:pt idx="37">
                  <c:v>-5964.6732976904277</c:v>
                </c:pt>
                <c:pt idx="38">
                  <c:v>-5762.9693697492057</c:v>
                </c:pt>
                <c:pt idx="39">
                  <c:v>-5568.0863475837741</c:v>
                </c:pt>
                <c:pt idx="40">
                  <c:v>-5379.7935725447105</c:v>
                </c:pt>
                <c:pt idx="41">
                  <c:v>-5197.8681860335382</c:v>
                </c:pt>
                <c:pt idx="43">
                  <c:v>-460060.90897047153</c:v>
                </c:pt>
              </c:numCache>
            </c:numRef>
          </c:val>
          <c:extLst>
            <c:ext xmlns:c16="http://schemas.microsoft.com/office/drawing/2014/chart" uri="{C3380CC4-5D6E-409C-BE32-E72D297353CC}">
              <c16:uniqueId val="{00000007-8A7C-4E7F-A0B6-1A91EAC113DA}"/>
            </c:ext>
          </c:extLst>
        </c:ser>
        <c:dLbls>
          <c:showLegendKey val="0"/>
          <c:showVal val="0"/>
          <c:showCatName val="0"/>
          <c:showSerName val="0"/>
          <c:showPercent val="0"/>
          <c:showBubbleSize val="0"/>
        </c:dLbls>
        <c:gapWidth val="37"/>
        <c:overlap val="100"/>
        <c:axId val="502317032"/>
        <c:axId val="502321736"/>
      </c:barChart>
      <c:catAx>
        <c:axId val="502317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502321736"/>
        <c:crosses val="autoZero"/>
        <c:auto val="1"/>
        <c:lblAlgn val="ctr"/>
        <c:lblOffset val="100"/>
        <c:noMultiLvlLbl val="0"/>
      </c:catAx>
      <c:valAx>
        <c:axId val="5023217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502317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000000000000133" l="0.70000000000000062" r="0.70000000000000062" t="0.75000000000000133"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228600</xdr:colOff>
      <xdr:row>5</xdr:row>
      <xdr:rowOff>76201</xdr:rowOff>
    </xdr:from>
    <xdr:to>
      <xdr:col>1</xdr:col>
      <xdr:colOff>2600325</xdr:colOff>
      <xdr:row>11</xdr:row>
      <xdr:rowOff>76200</xdr:rowOff>
    </xdr:to>
    <xdr:sp macro="" textlink="">
      <xdr:nvSpPr>
        <xdr:cNvPr id="8" name="textruta 7">
          <a:extLst>
            <a:ext uri="{FF2B5EF4-FFF2-40B4-BE49-F238E27FC236}">
              <a16:creationId xmlns:a16="http://schemas.microsoft.com/office/drawing/2014/main" id="{00000000-0008-0000-0000-000008000000}"/>
            </a:ext>
          </a:extLst>
        </xdr:cNvPr>
        <xdr:cNvSpPr txBox="1"/>
      </xdr:nvSpPr>
      <xdr:spPr>
        <a:xfrm>
          <a:off x="228600" y="885826"/>
          <a:ext cx="2619375" cy="971549"/>
        </a:xfrm>
        <a:prstGeom prst="rect">
          <a:avLst/>
        </a:prstGeom>
        <a:solidFill>
          <a:schemeClr val="accent5">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sv-SE" sz="3200" b="0"/>
            <a:t>JärnvägsBUSE</a:t>
          </a:r>
        </a:p>
        <a:p>
          <a:pPr algn="ctr"/>
          <a:r>
            <a:rPr lang="sv-SE" sz="1200" b="0"/>
            <a:t>Partiell samhällsekonomisk kalkyl för bulleråtgärder vid järnväg</a:t>
          </a:r>
        </a:p>
        <a:p>
          <a:pPr algn="ctr"/>
          <a:endParaRPr lang="sv-SE" sz="800" b="0"/>
        </a:p>
      </xdr:txBody>
    </xdr:sp>
    <xdr:clientData/>
  </xdr:twoCellAnchor>
  <xdr:twoCellAnchor editAs="oneCell">
    <xdr:from>
      <xdr:col>1</xdr:col>
      <xdr:colOff>0</xdr:colOff>
      <xdr:row>1</xdr:row>
      <xdr:rowOff>1</xdr:rowOff>
    </xdr:from>
    <xdr:to>
      <xdr:col>2</xdr:col>
      <xdr:colOff>25400</xdr:colOff>
      <xdr:row>4</xdr:row>
      <xdr:rowOff>123525</xdr:rowOff>
    </xdr:to>
    <xdr:pic>
      <xdr:nvPicPr>
        <xdr:cNvPr id="3" name="Bildobjekt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0" y="1"/>
          <a:ext cx="2638425" cy="6061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257175</xdr:colOff>
      <xdr:row>0</xdr:row>
      <xdr:rowOff>90486</xdr:rowOff>
    </xdr:from>
    <xdr:to>
      <xdr:col>21</xdr:col>
      <xdr:colOff>542925</xdr:colOff>
      <xdr:row>24</xdr:row>
      <xdr:rowOff>28575</xdr:rowOff>
    </xdr:to>
    <xdr:graphicFrame macro="">
      <xdr:nvGraphicFramePr>
        <xdr:cNvPr id="5" name="Diagram 4">
          <a:extLst>
            <a:ext uri="{FF2B5EF4-FFF2-40B4-BE49-F238E27FC236}">
              <a16:creationId xmlns:a16="http://schemas.microsoft.com/office/drawing/2014/main" id="{00000000-0008-0000-0A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247650</xdr:colOff>
      <xdr:row>0</xdr:row>
      <xdr:rowOff>138111</xdr:rowOff>
    </xdr:from>
    <xdr:to>
      <xdr:col>33</xdr:col>
      <xdr:colOff>361950</xdr:colOff>
      <xdr:row>32</xdr:row>
      <xdr:rowOff>85724</xdr:rowOff>
    </xdr:to>
    <xdr:graphicFrame macro="">
      <xdr:nvGraphicFramePr>
        <xdr:cNvPr id="3" name="Diagram 2">
          <a:extLst>
            <a:ext uri="{FF2B5EF4-FFF2-40B4-BE49-F238E27FC236}">
              <a16:creationId xmlns:a16="http://schemas.microsoft.com/office/drawing/2014/main" id="{00000000-0008-0000-0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200025</xdr:colOff>
      <xdr:row>0</xdr:row>
      <xdr:rowOff>109536</xdr:rowOff>
    </xdr:from>
    <xdr:to>
      <xdr:col>26</xdr:col>
      <xdr:colOff>142875</xdr:colOff>
      <xdr:row>29</xdr:row>
      <xdr:rowOff>142874</xdr:rowOff>
    </xdr:to>
    <xdr:graphicFrame macro="">
      <xdr:nvGraphicFramePr>
        <xdr:cNvPr id="3" name="Diagram 2">
          <a:extLst>
            <a:ext uri="{FF2B5EF4-FFF2-40B4-BE49-F238E27FC236}">
              <a16:creationId xmlns:a16="http://schemas.microsoft.com/office/drawing/2014/main" id="{00000000-0008-0000-0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104774</xdr:colOff>
      <xdr:row>1</xdr:row>
      <xdr:rowOff>4761</xdr:rowOff>
    </xdr:from>
    <xdr:to>
      <xdr:col>26</xdr:col>
      <xdr:colOff>419099</xdr:colOff>
      <xdr:row>34</xdr:row>
      <xdr:rowOff>38099</xdr:rowOff>
    </xdr:to>
    <xdr:graphicFrame macro="">
      <xdr:nvGraphicFramePr>
        <xdr:cNvPr id="3" name="Diagram 2">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ransch.trafikverket.se/for-dig-i-branschen/Planera-och-utreda/Samhallsekonomisk-analys-och-trafikanalys/samhallsekonomi/samhallsekonomiska-metoder-och-kalkylverktyg/"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O35"/>
  <sheetViews>
    <sheetView tabSelected="1" workbookViewId="0">
      <selection activeCell="H29" sqref="H29"/>
    </sheetView>
  </sheetViews>
  <sheetFormatPr defaultColWidth="9.1796875" defaultRowHeight="12.5" x14ac:dyDescent="0.25"/>
  <cols>
    <col min="1" max="1" width="3.7265625" style="46" customWidth="1"/>
    <col min="2" max="2" width="39.1796875" style="46" customWidth="1"/>
    <col min="3" max="3" width="30.54296875" style="46" customWidth="1"/>
    <col min="4" max="4" width="3.7265625" style="46" customWidth="1"/>
    <col min="5" max="7" width="4.26953125" style="46" customWidth="1"/>
    <col min="8" max="8" width="33.1796875" style="46" bestFit="1" customWidth="1"/>
    <col min="9" max="9" width="11.7265625" style="46" customWidth="1"/>
    <col min="10" max="16384" width="9.1796875" style="46"/>
  </cols>
  <sheetData>
    <row r="3" spans="2:15" x14ac:dyDescent="0.25">
      <c r="I3" s="47"/>
      <c r="O3" s="48"/>
    </row>
    <row r="4" spans="2:15" x14ac:dyDescent="0.25">
      <c r="O4" s="49"/>
    </row>
    <row r="5" spans="2:15" x14ac:dyDescent="0.25">
      <c r="O5" s="49"/>
    </row>
    <row r="9" spans="2:15" x14ac:dyDescent="0.25">
      <c r="O9" s="50"/>
    </row>
    <row r="13" spans="2:15" x14ac:dyDescent="0.25">
      <c r="B13" s="60" t="s">
        <v>311</v>
      </c>
    </row>
    <row r="14" spans="2:15" x14ac:dyDescent="0.25">
      <c r="B14" s="60" t="s">
        <v>312</v>
      </c>
    </row>
    <row r="15" spans="2:15" x14ac:dyDescent="0.25">
      <c r="B15" s="47"/>
    </row>
    <row r="16" spans="2:15" x14ac:dyDescent="0.25">
      <c r="B16" s="47"/>
    </row>
    <row r="17" spans="2:3" x14ac:dyDescent="0.25">
      <c r="B17" s="62" t="s">
        <v>310</v>
      </c>
      <c r="C17" s="344"/>
    </row>
    <row r="19" spans="2:3" ht="15.5" x14ac:dyDescent="0.35">
      <c r="B19" s="51" t="s">
        <v>72</v>
      </c>
      <c r="C19" s="52"/>
    </row>
    <row r="20" spans="2:3" x14ac:dyDescent="0.25">
      <c r="B20" s="53" t="s">
        <v>69</v>
      </c>
      <c r="C20" s="53"/>
    </row>
    <row r="21" spans="2:3" x14ac:dyDescent="0.25">
      <c r="B21" s="53" t="s">
        <v>70</v>
      </c>
      <c r="C21" s="53"/>
    </row>
    <row r="22" spans="2:3" x14ac:dyDescent="0.25">
      <c r="B22" s="53" t="s">
        <v>83</v>
      </c>
      <c r="C22" s="53"/>
    </row>
    <row r="23" spans="2:3" x14ac:dyDescent="0.25">
      <c r="B23" s="53" t="s">
        <v>84</v>
      </c>
      <c r="C23" s="53"/>
    </row>
    <row r="24" spans="2:3" x14ac:dyDescent="0.25">
      <c r="B24" s="53" t="s">
        <v>71</v>
      </c>
      <c r="C24" s="53"/>
    </row>
    <row r="25" spans="2:3" x14ac:dyDescent="0.25">
      <c r="B25" s="54" t="s">
        <v>73</v>
      </c>
      <c r="C25" s="53"/>
    </row>
    <row r="26" spans="2:3" x14ac:dyDescent="0.25">
      <c r="B26" s="54" t="s">
        <v>74</v>
      </c>
      <c r="C26" s="53"/>
    </row>
    <row r="28" spans="2:3" ht="15.5" x14ac:dyDescent="0.35">
      <c r="B28" s="51" t="s">
        <v>101</v>
      </c>
      <c r="C28" s="52"/>
    </row>
    <row r="29" spans="2:3" ht="74.25" customHeight="1" x14ac:dyDescent="0.25">
      <c r="B29" s="355"/>
      <c r="C29" s="356"/>
    </row>
    <row r="31" spans="2:3" ht="15.5" x14ac:dyDescent="0.35">
      <c r="B31" s="51" t="s">
        <v>102</v>
      </c>
      <c r="C31" s="52"/>
    </row>
    <row r="32" spans="2:3" ht="81.75" customHeight="1" x14ac:dyDescent="0.25">
      <c r="B32" s="355"/>
      <c r="C32" s="356"/>
    </row>
    <row r="34" spans="2:3" ht="15.5" x14ac:dyDescent="0.35">
      <c r="B34" s="51" t="s">
        <v>103</v>
      </c>
      <c r="C34" s="52"/>
    </row>
    <row r="35" spans="2:3" ht="47.25" customHeight="1" x14ac:dyDescent="0.25">
      <c r="B35" s="355"/>
      <c r="C35" s="356"/>
    </row>
  </sheetData>
  <mergeCells count="3">
    <mergeCell ref="B29:C29"/>
    <mergeCell ref="B32:C32"/>
    <mergeCell ref="B35:C35"/>
  </mergeCells>
  <hyperlinks>
    <hyperlink ref="B17" r:id="rId1" display="https://bransch.trafikverket.se/for-dig-i-branschen/Planera-och-utreda/Samhallsekonomisk-analys-och-trafikanalys/samhallsekonomi/samhallsekonomiska-metoder-och-kalkylverktyg/" xr:uid="{15B64004-FD1D-4427-B186-CD1761760F68}"/>
  </hyperlinks>
  <pageMargins left="1" right="1" top="1" bottom="1" header="0.5" footer="0.5"/>
  <pageSetup paperSize="9" orientation="portrait" r:id="rId2"/>
  <drawing r:id="rId3"/>
  <legacy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3"/>
  <sheetViews>
    <sheetView zoomScaleNormal="100" workbookViewId="0">
      <selection activeCell="O29" sqref="O29"/>
    </sheetView>
  </sheetViews>
  <sheetFormatPr defaultRowHeight="12.5" x14ac:dyDescent="0.25"/>
  <cols>
    <col min="1" max="1" width="13.1796875" style="27" customWidth="1"/>
    <col min="2" max="2" width="12.7265625" style="27" customWidth="1"/>
    <col min="3" max="3" width="19.453125" style="27" customWidth="1"/>
    <col min="4" max="4" width="4.7265625" style="27" customWidth="1"/>
    <col min="5" max="5" width="14" style="27" customWidth="1"/>
    <col min="6" max="6" width="11.54296875" style="27" customWidth="1"/>
    <col min="7" max="7" width="11.453125" style="27" customWidth="1"/>
    <col min="8" max="8" width="9.1796875" style="27"/>
    <col min="9" max="9" width="17" style="27" customWidth="1"/>
    <col min="10" max="10" width="21.1796875" customWidth="1"/>
    <col min="11" max="12" width="12.54296875" customWidth="1"/>
    <col min="13" max="13" width="13.7265625" customWidth="1"/>
  </cols>
  <sheetData>
    <row r="1" spans="1:12" x14ac:dyDescent="0.25">
      <c r="A1" s="27" t="s">
        <v>58</v>
      </c>
      <c r="B1" s="105" t="s">
        <v>29</v>
      </c>
      <c r="C1" s="105" t="s">
        <v>59</v>
      </c>
      <c r="D1" s="104"/>
      <c r="E1" s="105" t="s">
        <v>31</v>
      </c>
      <c r="F1" s="105" t="s">
        <v>30</v>
      </c>
      <c r="G1" s="105" t="s">
        <v>33</v>
      </c>
      <c r="H1" s="105" t="s">
        <v>33</v>
      </c>
      <c r="I1" s="105" t="s">
        <v>33</v>
      </c>
    </row>
    <row r="2" spans="1:12" x14ac:dyDescent="0.25">
      <c r="A2" s="27" t="s">
        <v>60</v>
      </c>
      <c r="B2" s="106" t="s">
        <v>61</v>
      </c>
      <c r="C2" s="106" t="s">
        <v>61</v>
      </c>
      <c r="D2" s="104"/>
      <c r="E2" s="106" t="s">
        <v>38</v>
      </c>
      <c r="F2" s="106" t="s">
        <v>32</v>
      </c>
      <c r="G2" s="106" t="s">
        <v>30</v>
      </c>
      <c r="H2" s="106" t="s">
        <v>29</v>
      </c>
      <c r="I2" s="106" t="s">
        <v>34</v>
      </c>
    </row>
    <row r="3" spans="1:12" s="28" customFormat="1" ht="13" x14ac:dyDescent="0.25">
      <c r="A3" s="29">
        <v>45</v>
      </c>
      <c r="B3" s="101">
        <v>0</v>
      </c>
      <c r="C3" s="101">
        <v>0</v>
      </c>
      <c r="D3" s="99"/>
      <c r="E3" s="102">
        <v>25</v>
      </c>
      <c r="F3" s="101">
        <v>0</v>
      </c>
      <c r="G3" s="103">
        <f>((F4-F3)/(E4-E3))</f>
        <v>0</v>
      </c>
      <c r="H3" s="102">
        <f>((B4-B3)/(A4-A3))</f>
        <v>0</v>
      </c>
      <c r="I3" s="102">
        <f>((C4-C3)/(A4-A3))</f>
        <v>0</v>
      </c>
    </row>
    <row r="4" spans="1:12" x14ac:dyDescent="0.25">
      <c r="A4">
        <v>49</v>
      </c>
      <c r="B4" s="100">
        <v>0</v>
      </c>
      <c r="C4" s="100">
        <v>0</v>
      </c>
      <c r="D4" s="43"/>
      <c r="E4" s="100"/>
      <c r="F4" s="100"/>
      <c r="G4" s="44"/>
      <c r="H4" s="44">
        <f>((B5-B4)/(A5-A4))</f>
        <v>71.05474021592444</v>
      </c>
      <c r="I4" s="43">
        <f>((C5-C4)/(A5-A4))</f>
        <v>71.05474021592444</v>
      </c>
    </row>
    <row r="5" spans="1:12" ht="13" x14ac:dyDescent="0.25">
      <c r="A5">
        <v>50</v>
      </c>
      <c r="B5" s="205">
        <v>71.05474021592444</v>
      </c>
      <c r="C5" s="205">
        <v>71.05474021592444</v>
      </c>
      <c r="D5" s="43"/>
      <c r="E5" s="100"/>
      <c r="F5" s="100"/>
      <c r="G5" s="44"/>
      <c r="H5" s="44">
        <f t="shared" ref="H5:H29" si="0">((B6-B5)/(A6-A5))</f>
        <v>148.98574561403512</v>
      </c>
      <c r="I5" s="43">
        <f t="shared" ref="I5:I28" si="1">((C6-C5)/(A6-A5))</f>
        <v>148.98574561403512</v>
      </c>
    </row>
    <row r="6" spans="1:12" ht="13" x14ac:dyDescent="0.25">
      <c r="A6">
        <v>51</v>
      </c>
      <c r="B6" s="205">
        <v>220.04048582995958</v>
      </c>
      <c r="C6" s="205">
        <v>220.04048582995958</v>
      </c>
      <c r="D6" s="43"/>
      <c r="E6" s="100"/>
      <c r="F6" s="100"/>
      <c r="G6" s="44"/>
      <c r="H6" s="44">
        <f t="shared" si="0"/>
        <v>225.77070681511472</v>
      </c>
      <c r="I6" s="43">
        <f t="shared" si="1"/>
        <v>225.77070681511472</v>
      </c>
    </row>
    <row r="7" spans="1:12" ht="13" x14ac:dyDescent="0.25">
      <c r="A7">
        <v>52</v>
      </c>
      <c r="B7" s="205">
        <v>445.8111926450743</v>
      </c>
      <c r="C7" s="205">
        <v>445.8111926450743</v>
      </c>
      <c r="D7" s="43"/>
      <c r="E7" s="100"/>
      <c r="F7" s="100"/>
      <c r="G7" s="44"/>
      <c r="H7" s="44">
        <f t="shared" si="0"/>
        <v>302.55566801619437</v>
      </c>
      <c r="I7" s="43">
        <f t="shared" si="1"/>
        <v>302.55566801619437</v>
      </c>
    </row>
    <row r="8" spans="1:12" ht="13" x14ac:dyDescent="0.25">
      <c r="A8">
        <v>53</v>
      </c>
      <c r="B8" s="205">
        <v>748.36686066126867</v>
      </c>
      <c r="C8" s="205">
        <v>748.36686066126867</v>
      </c>
      <c r="D8" s="43"/>
      <c r="E8" s="100">
        <v>22</v>
      </c>
      <c r="F8" s="100">
        <v>0</v>
      </c>
      <c r="G8" s="44"/>
      <c r="H8" s="44">
        <f t="shared" si="0"/>
        <v>273.90456309041883</v>
      </c>
      <c r="I8" s="43">
        <f t="shared" si="1"/>
        <v>380.48667341430519</v>
      </c>
    </row>
    <row r="9" spans="1:12" ht="13" x14ac:dyDescent="0.25">
      <c r="A9">
        <v>54</v>
      </c>
      <c r="B9" s="205">
        <v>1022.2714237516875</v>
      </c>
      <c r="C9" s="205">
        <v>1128.8535340755739</v>
      </c>
      <c r="D9" s="43"/>
      <c r="E9" s="188">
        <v>23</v>
      </c>
      <c r="F9" s="207">
        <v>106.58211032388664</v>
      </c>
      <c r="G9" s="44">
        <f t="shared" ref="G9:G30" si="2">((F10-F9)/(E10-E9))</f>
        <v>170.76058535762439</v>
      </c>
      <c r="H9" s="44">
        <f t="shared" si="0"/>
        <v>285.36500506072889</v>
      </c>
      <c r="I9" s="43">
        <f t="shared" si="1"/>
        <v>456.12559041835357</v>
      </c>
    </row>
    <row r="10" spans="1:12" ht="13" x14ac:dyDescent="0.25">
      <c r="A10">
        <v>55</v>
      </c>
      <c r="B10" s="205">
        <v>1307.6364288124164</v>
      </c>
      <c r="C10" s="205">
        <v>1584.9791244939274</v>
      </c>
      <c r="D10" s="43"/>
      <c r="E10" s="188">
        <v>24</v>
      </c>
      <c r="F10" s="208">
        <v>277.34269568151103</v>
      </c>
      <c r="G10" s="44">
        <f t="shared" si="2"/>
        <v>289.94918184885364</v>
      </c>
      <c r="H10" s="44">
        <f t="shared" si="0"/>
        <v>244.10741396761068</v>
      </c>
      <c r="I10" s="43">
        <f t="shared" si="1"/>
        <v>534.05659581646432</v>
      </c>
      <c r="K10" s="197"/>
      <c r="L10" s="35"/>
    </row>
    <row r="11" spans="1:12" ht="13" x14ac:dyDescent="0.25">
      <c r="A11">
        <v>56</v>
      </c>
      <c r="B11" s="205">
        <v>1551.7438427800271</v>
      </c>
      <c r="C11" s="205">
        <v>2119.0357203103918</v>
      </c>
      <c r="D11" s="43"/>
      <c r="E11" s="188">
        <v>25</v>
      </c>
      <c r="F11" s="208">
        <v>567.29187753036467</v>
      </c>
      <c r="G11" s="44">
        <f t="shared" si="2"/>
        <v>283.07291666666697</v>
      </c>
      <c r="H11" s="44">
        <f t="shared" si="0"/>
        <v>328.91468454790788</v>
      </c>
      <c r="I11" s="43">
        <f t="shared" si="1"/>
        <v>611.98760121457508</v>
      </c>
      <c r="K11" s="197"/>
    </row>
    <row r="12" spans="1:12" ht="13" x14ac:dyDescent="0.25">
      <c r="A12">
        <v>57</v>
      </c>
      <c r="B12" s="205">
        <v>1880.658527327935</v>
      </c>
      <c r="C12" s="205">
        <v>2731.0233215249668</v>
      </c>
      <c r="D12" s="43"/>
      <c r="E12" s="188">
        <v>26</v>
      </c>
      <c r="F12" s="208">
        <v>850.36479419703164</v>
      </c>
      <c r="G12" s="44">
        <f t="shared" si="2"/>
        <v>559.74130899113925</v>
      </c>
      <c r="H12" s="44">
        <f t="shared" si="0"/>
        <v>218.39827391057747</v>
      </c>
      <c r="I12" s="43">
        <f t="shared" si="1"/>
        <v>778.13958290171649</v>
      </c>
    </row>
    <row r="13" spans="1:12" ht="13" x14ac:dyDescent="0.25">
      <c r="A13">
        <v>58</v>
      </c>
      <c r="B13" s="205">
        <v>2099.0568012385124</v>
      </c>
      <c r="C13" s="205">
        <v>3509.1629044266833</v>
      </c>
      <c r="D13" s="43"/>
      <c r="E13" s="188">
        <v>27</v>
      </c>
      <c r="F13" s="208">
        <v>1410.1061031881709</v>
      </c>
      <c r="G13" s="44">
        <f t="shared" si="2"/>
        <v>763.46653647721132</v>
      </c>
      <c r="H13" s="44">
        <f t="shared" si="0"/>
        <v>74.515838426869777</v>
      </c>
      <c r="I13" s="43">
        <f t="shared" si="1"/>
        <v>837.9823749040811</v>
      </c>
    </row>
    <row r="14" spans="1:12" ht="13" x14ac:dyDescent="0.25">
      <c r="A14">
        <v>59</v>
      </c>
      <c r="B14" s="205">
        <v>2173.5726396653822</v>
      </c>
      <c r="C14" s="205">
        <v>4347.1452793307644</v>
      </c>
      <c r="D14" s="43"/>
      <c r="E14" s="188">
        <v>28</v>
      </c>
      <c r="F14" s="208">
        <v>2173.5726396653822</v>
      </c>
      <c r="G14" s="44">
        <f t="shared" si="2"/>
        <v>475.48422533813527</v>
      </c>
      <c r="H14" s="44">
        <f t="shared" si="0"/>
        <v>475.48422533813527</v>
      </c>
      <c r="I14" s="43">
        <f t="shared" si="1"/>
        <v>950.96845067627055</v>
      </c>
    </row>
    <row r="15" spans="1:12" ht="13" x14ac:dyDescent="0.25">
      <c r="A15">
        <v>60</v>
      </c>
      <c r="B15" s="205">
        <v>2649.0568650035175</v>
      </c>
      <c r="C15" s="205">
        <v>5298.113730007035</v>
      </c>
      <c r="D15" s="43"/>
      <c r="E15" s="188">
        <v>29</v>
      </c>
      <c r="F15" s="208">
        <v>2649.0568650035175</v>
      </c>
      <c r="G15" s="44">
        <f t="shared" si="2"/>
        <v>522.91928462295846</v>
      </c>
      <c r="H15" s="44">
        <f t="shared" si="0"/>
        <v>522.91928462295846</v>
      </c>
      <c r="I15" s="43">
        <f t="shared" si="1"/>
        <v>1045.8385692459169</v>
      </c>
    </row>
    <row r="16" spans="1:12" ht="13" x14ac:dyDescent="0.25">
      <c r="A16">
        <v>61</v>
      </c>
      <c r="B16" s="205">
        <v>3171.9761496264759</v>
      </c>
      <c r="C16" s="205">
        <v>6343.9522992529519</v>
      </c>
      <c r="D16" s="43"/>
      <c r="E16" s="188">
        <v>30</v>
      </c>
      <c r="F16" s="208">
        <v>3171.9761496264759</v>
      </c>
      <c r="G16" s="44">
        <f t="shared" si="2"/>
        <v>579.40045288866304</v>
      </c>
      <c r="H16" s="44">
        <f t="shared" si="0"/>
        <v>579.40045288866304</v>
      </c>
      <c r="I16" s="43">
        <f t="shared" si="1"/>
        <v>1158.8009057773261</v>
      </c>
    </row>
    <row r="17" spans="1:9" ht="13" x14ac:dyDescent="0.25">
      <c r="A17">
        <v>62</v>
      </c>
      <c r="B17" s="205">
        <v>3751.376602515139</v>
      </c>
      <c r="C17" s="205">
        <v>7502.753205030278</v>
      </c>
      <c r="D17" s="43"/>
      <c r="E17" s="188">
        <v>31</v>
      </c>
      <c r="F17" s="208">
        <v>3751.376602515139</v>
      </c>
      <c r="G17" s="44">
        <f t="shared" si="2"/>
        <v>636.50284217703575</v>
      </c>
      <c r="H17" s="44">
        <f t="shared" si="0"/>
        <v>636.50284217703575</v>
      </c>
      <c r="I17" s="43">
        <f t="shared" si="1"/>
        <v>1273.0056843540715</v>
      </c>
    </row>
    <row r="18" spans="1:9" ht="13" x14ac:dyDescent="0.25">
      <c r="A18">
        <v>63</v>
      </c>
      <c r="B18" s="205">
        <v>4387.8794446921747</v>
      </c>
      <c r="C18" s="205">
        <v>8775.7588893843495</v>
      </c>
      <c r="D18" s="43"/>
      <c r="E18" s="188">
        <v>32</v>
      </c>
      <c r="F18" s="208">
        <v>4387.8794446921747</v>
      </c>
      <c r="G18" s="44">
        <f t="shared" si="2"/>
        <v>683.93634632362773</v>
      </c>
      <c r="H18" s="44">
        <f t="shared" si="0"/>
        <v>683.93634632362773</v>
      </c>
      <c r="I18" s="43">
        <f t="shared" si="1"/>
        <v>1367.8726926472555</v>
      </c>
    </row>
    <row r="19" spans="1:9" ht="13" x14ac:dyDescent="0.25">
      <c r="A19">
        <v>64</v>
      </c>
      <c r="B19" s="205">
        <v>5071.8157910158025</v>
      </c>
      <c r="C19" s="205">
        <v>10143.631582031605</v>
      </c>
      <c r="D19" s="43"/>
      <c r="E19" s="188">
        <v>33</v>
      </c>
      <c r="F19" s="208">
        <v>5071.8157910158025</v>
      </c>
      <c r="G19" s="44">
        <f t="shared" si="2"/>
        <v>731.36453027065181</v>
      </c>
      <c r="H19" s="44">
        <f t="shared" si="0"/>
        <v>731.36453027065181</v>
      </c>
      <c r="I19" s="43">
        <f t="shared" si="1"/>
        <v>1462.7290605413036</v>
      </c>
    </row>
    <row r="20" spans="1:9" ht="13" x14ac:dyDescent="0.25">
      <c r="A20">
        <v>65</v>
      </c>
      <c r="B20" s="205">
        <v>5803.1803212864543</v>
      </c>
      <c r="C20" s="205">
        <v>11606.360642572909</v>
      </c>
      <c r="D20" s="43"/>
      <c r="E20" s="188">
        <v>34</v>
      </c>
      <c r="F20" s="208">
        <v>5803.1803212864543</v>
      </c>
      <c r="G20" s="44">
        <f t="shared" si="2"/>
        <v>788.48561731428981</v>
      </c>
      <c r="H20" s="44">
        <f t="shared" si="0"/>
        <v>788.48561731428981</v>
      </c>
      <c r="I20" s="43">
        <f t="shared" si="1"/>
        <v>1576.9712346285796</v>
      </c>
    </row>
    <row r="21" spans="1:9" ht="13" x14ac:dyDescent="0.25">
      <c r="A21">
        <v>66</v>
      </c>
      <c r="B21" s="205">
        <v>6591.6659386007441</v>
      </c>
      <c r="C21" s="205">
        <v>13183.331877201488</v>
      </c>
      <c r="D21" s="43"/>
      <c r="E21" s="188">
        <v>35</v>
      </c>
      <c r="F21" s="208">
        <v>6591.6659386007441</v>
      </c>
      <c r="G21" s="44">
        <f t="shared" si="2"/>
        <v>844.31673278938251</v>
      </c>
      <c r="H21" s="44">
        <f t="shared" si="0"/>
        <v>844.31673278938251</v>
      </c>
      <c r="I21" s="43">
        <f t="shared" si="1"/>
        <v>1688.633465578765</v>
      </c>
    </row>
    <row r="22" spans="1:9" ht="13" x14ac:dyDescent="0.25">
      <c r="A22">
        <v>67</v>
      </c>
      <c r="B22" s="205">
        <v>7435.9826713901266</v>
      </c>
      <c r="C22" s="205">
        <v>14871.965342780253</v>
      </c>
      <c r="D22" s="43"/>
      <c r="E22" s="188">
        <v>36</v>
      </c>
      <c r="F22" s="208">
        <v>7435.9826713901266</v>
      </c>
      <c r="G22" s="44">
        <f t="shared" si="2"/>
        <v>901.44081602578717</v>
      </c>
      <c r="H22" s="44">
        <f t="shared" si="0"/>
        <v>901.44081602578717</v>
      </c>
      <c r="I22" s="43">
        <f t="shared" si="1"/>
        <v>1802.8816320515743</v>
      </c>
    </row>
    <row r="23" spans="1:9" ht="13" x14ac:dyDescent="0.25">
      <c r="A23">
        <v>68</v>
      </c>
      <c r="B23" s="205">
        <v>8337.4234874159138</v>
      </c>
      <c r="C23" s="205">
        <v>16674.846974831828</v>
      </c>
      <c r="D23" s="43"/>
      <c r="E23" s="188">
        <v>37</v>
      </c>
      <c r="F23" s="208">
        <v>8337.4234874159138</v>
      </c>
      <c r="G23" s="44">
        <f t="shared" si="2"/>
        <v>950.82683005480612</v>
      </c>
      <c r="H23" s="44">
        <f t="shared" si="0"/>
        <v>950.82683005480612</v>
      </c>
      <c r="I23" s="43">
        <f t="shared" si="1"/>
        <v>1901.6536601096122</v>
      </c>
    </row>
    <row r="24" spans="1:9" ht="13" x14ac:dyDescent="0.25">
      <c r="A24">
        <v>69</v>
      </c>
      <c r="B24" s="205">
        <v>9288.2503174707199</v>
      </c>
      <c r="C24" s="205">
        <v>18576.50063494144</v>
      </c>
      <c r="D24" s="43"/>
      <c r="E24" s="188">
        <v>38</v>
      </c>
      <c r="F24" s="208">
        <v>9288.2503174707199</v>
      </c>
      <c r="G24" s="44">
        <f t="shared" si="2"/>
        <v>1018.4885367530987</v>
      </c>
      <c r="H24" s="44">
        <f t="shared" si="0"/>
        <v>1018.4885367530987</v>
      </c>
      <c r="I24" s="43">
        <f t="shared" si="1"/>
        <v>2036.9770735061975</v>
      </c>
    </row>
    <row r="25" spans="1:9" ht="13" x14ac:dyDescent="0.25">
      <c r="A25">
        <v>70</v>
      </c>
      <c r="B25" s="205">
        <v>10306.738854223819</v>
      </c>
      <c r="C25" s="205">
        <v>20613.477708447637</v>
      </c>
      <c r="D25" s="43"/>
      <c r="E25" s="188">
        <v>39</v>
      </c>
      <c r="F25" s="208">
        <v>10306.738854223819</v>
      </c>
      <c r="G25" s="44">
        <f t="shared" si="2"/>
        <v>1065.9136257732298</v>
      </c>
      <c r="H25" s="44">
        <f t="shared" si="0"/>
        <v>1065.9136257732298</v>
      </c>
      <c r="I25" s="43">
        <f t="shared" si="1"/>
        <v>2131.8272515464596</v>
      </c>
    </row>
    <row r="26" spans="1:9" ht="13" x14ac:dyDescent="0.25">
      <c r="A26">
        <v>71</v>
      </c>
      <c r="B26" s="205">
        <v>11372.652479997048</v>
      </c>
      <c r="C26" s="205">
        <v>22745.304959994097</v>
      </c>
      <c r="D26" s="43"/>
      <c r="E26" s="188">
        <v>40</v>
      </c>
      <c r="F26" s="208">
        <v>11372.652479997048</v>
      </c>
      <c r="G26" s="44">
        <f t="shared" si="2"/>
        <v>1121.7090930869363</v>
      </c>
      <c r="H26" s="44">
        <f t="shared" si="0"/>
        <v>1121.7090930869363</v>
      </c>
      <c r="I26" s="43">
        <f t="shared" si="1"/>
        <v>2243.4181861738725</v>
      </c>
    </row>
    <row r="27" spans="1:9" ht="13" x14ac:dyDescent="0.25">
      <c r="A27">
        <v>72</v>
      </c>
      <c r="B27" s="205">
        <v>12494.361573083985</v>
      </c>
      <c r="C27" s="205">
        <v>24988.723146167969</v>
      </c>
      <c r="D27" s="43"/>
      <c r="E27" s="188">
        <v>41</v>
      </c>
      <c r="F27" s="208">
        <v>12494.361573083985</v>
      </c>
      <c r="G27" s="44">
        <f t="shared" si="2"/>
        <v>1179.5326794729554</v>
      </c>
      <c r="H27" s="44">
        <f t="shared" si="0"/>
        <v>1179.5326794729554</v>
      </c>
      <c r="I27" s="43">
        <f t="shared" si="1"/>
        <v>2359.0653589459107</v>
      </c>
    </row>
    <row r="28" spans="1:9" ht="13" x14ac:dyDescent="0.25">
      <c r="A28">
        <v>73</v>
      </c>
      <c r="B28" s="205">
        <v>13673.89425255694</v>
      </c>
      <c r="C28" s="205">
        <v>27347.78850511388</v>
      </c>
      <c r="D28" s="43"/>
      <c r="E28" s="188">
        <v>42</v>
      </c>
      <c r="F28" s="208">
        <v>13673.89425255694</v>
      </c>
      <c r="G28" s="44">
        <f t="shared" si="2"/>
        <v>1235.3214369617963</v>
      </c>
      <c r="H28" s="44">
        <f t="shared" si="0"/>
        <v>1235.3214369617963</v>
      </c>
      <c r="I28" s="43">
        <f t="shared" si="1"/>
        <v>2470.6428739235926</v>
      </c>
    </row>
    <row r="29" spans="1:9" ht="13" x14ac:dyDescent="0.25">
      <c r="A29">
        <v>74</v>
      </c>
      <c r="B29" s="205">
        <v>14909.215689518736</v>
      </c>
      <c r="C29" s="205">
        <v>29818.431379037473</v>
      </c>
      <c r="D29" s="43"/>
      <c r="E29" s="188">
        <v>43</v>
      </c>
      <c r="F29" s="208">
        <v>14909.215689518736</v>
      </c>
      <c r="G29" s="44">
        <f t="shared" si="2"/>
        <v>1301.526126552244</v>
      </c>
      <c r="H29" s="44">
        <f t="shared" si="0"/>
        <v>1301.526126552244</v>
      </c>
      <c r="I29" s="43"/>
    </row>
    <row r="30" spans="1:9" ht="13.5" thickBot="1" x14ac:dyDescent="0.3">
      <c r="A30">
        <v>75</v>
      </c>
      <c r="B30" s="205">
        <v>16210.74181607098</v>
      </c>
      <c r="C30" s="206">
        <v>32421.483632141961</v>
      </c>
      <c r="D30" s="43"/>
      <c r="E30" s="188">
        <v>44</v>
      </c>
      <c r="F30" s="208">
        <v>16210.74181607098</v>
      </c>
      <c r="G30" s="44">
        <f t="shared" si="2"/>
        <v>368.42595036524955</v>
      </c>
      <c r="H30" s="44"/>
      <c r="I30" s="43"/>
    </row>
    <row r="31" spans="1:9" s="28" customFormat="1" ht="13" x14ac:dyDescent="0.25">
      <c r="A31" s="94"/>
      <c r="B31" s="95"/>
      <c r="C31" s="95"/>
      <c r="D31" s="96"/>
      <c r="E31" s="96"/>
      <c r="F31" s="97"/>
      <c r="G31" s="98"/>
      <c r="H31" s="96"/>
      <c r="I31" s="96"/>
    </row>
    <row r="32" spans="1:9" s="28" customFormat="1" x14ac:dyDescent="0.25">
      <c r="A32" s="27"/>
      <c r="B32" s="27"/>
      <c r="C32" s="27"/>
      <c r="D32" s="27"/>
      <c r="E32" s="27"/>
      <c r="F32" s="27"/>
      <c r="G32" s="27"/>
      <c r="H32" s="27"/>
      <c r="I32" s="27"/>
    </row>
    <row r="33" s="28" customFormat="1" x14ac:dyDescent="0.25"/>
  </sheetData>
  <phoneticPr fontId="0" type="noConversion"/>
  <pageMargins left="0.74803149606299213" right="0.74803149606299213" top="0.98425196850393704" bottom="0.98425196850393704" header="0.51181102362204722" footer="0.51181102362204722"/>
  <pageSetup paperSize="9" orientation="portrait"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106"/>
  <sheetViews>
    <sheetView zoomScaleNormal="100" workbookViewId="0">
      <selection activeCell="D2" sqref="D2"/>
    </sheetView>
  </sheetViews>
  <sheetFormatPr defaultRowHeight="12.5" x14ac:dyDescent="0.25"/>
  <cols>
    <col min="3" max="3" width="11.453125" customWidth="1"/>
    <col min="4" max="4" width="11.1796875" customWidth="1"/>
    <col min="6" max="6" width="12.26953125" customWidth="1"/>
    <col min="7" max="7" width="3.1796875" style="108" customWidth="1"/>
    <col min="8" max="8" width="3" style="108" bestFit="1" customWidth="1"/>
    <col min="9" max="9" width="10.81640625" style="108" bestFit="1" customWidth="1"/>
    <col min="10" max="10" width="17.54296875" style="108" bestFit="1" customWidth="1"/>
    <col min="11" max="11" width="11.1796875" style="108" bestFit="1" customWidth="1"/>
    <col min="23" max="24" width="12.26953125" customWidth="1"/>
  </cols>
  <sheetData>
    <row r="1" spans="1:24" x14ac:dyDescent="0.25">
      <c r="C1" t="s">
        <v>4</v>
      </c>
      <c r="D1" t="s">
        <v>142</v>
      </c>
      <c r="F1" t="s">
        <v>26</v>
      </c>
    </row>
    <row r="2" spans="1:24" x14ac:dyDescent="0.25">
      <c r="A2" t="s">
        <v>14</v>
      </c>
      <c r="B2" t="s">
        <v>4</v>
      </c>
      <c r="C2" t="s">
        <v>21</v>
      </c>
      <c r="D2" t="s">
        <v>294</v>
      </c>
      <c r="E2" t="s">
        <v>26</v>
      </c>
      <c r="F2" t="s">
        <v>22</v>
      </c>
      <c r="I2" s="108" t="s">
        <v>144</v>
      </c>
      <c r="J2" s="108" t="s">
        <v>143</v>
      </c>
      <c r="K2" s="108" t="s">
        <v>26</v>
      </c>
    </row>
    <row r="3" spans="1:24" x14ac:dyDescent="0.25">
      <c r="A3">
        <v>0</v>
      </c>
      <c r="B3" s="16">
        <v>0</v>
      </c>
      <c r="C3" s="16">
        <f>IF('A Fasadåtgärd'!$C$8+1&gt;A3,B3,0)</f>
        <v>0</v>
      </c>
      <c r="D3">
        <f>'A Fasadåtgärd'!D45</f>
        <v>0</v>
      </c>
      <c r="H3" s="108">
        <v>0</v>
      </c>
      <c r="I3" s="109">
        <f>C3</f>
        <v>0</v>
      </c>
      <c r="J3" s="108">
        <f>-1*D3</f>
        <v>0</v>
      </c>
      <c r="K3" s="108">
        <v>0</v>
      </c>
    </row>
    <row r="4" spans="1:24" x14ac:dyDescent="0.25">
      <c r="A4">
        <v>1</v>
      </c>
      <c r="B4" s="16">
        <f>((('A Fasadåtgärd'!$C$51*(1/(1+'A Fasadåtgärd'!$C$10)^A4))))*(('A Fasadåtgärd'!$C$12+1)^NuvFasad!A4)</f>
        <v>16041.993690768972</v>
      </c>
      <c r="C4" s="16">
        <f>IF('A Fasadåtgärd'!$C$8+1&gt;A4,B4,0)</f>
        <v>16041.993690768972</v>
      </c>
      <c r="D4" s="16"/>
      <c r="E4" s="16">
        <f>'A Fasadåtgärd'!$C$41/(POWER(1+'A Fasadåtgärd'!$C$10,A4))</f>
        <v>966.18357487922708</v>
      </c>
      <c r="F4" s="16">
        <f>IF('A Fasadåtgärd'!$C$8+1&gt;A4,E4,0)</f>
        <v>966.18357487922708</v>
      </c>
      <c r="G4" s="109"/>
      <c r="H4" s="108">
        <v>1</v>
      </c>
      <c r="I4" s="109">
        <f t="shared" ref="I4:I23" si="0">C4</f>
        <v>16041.993690768972</v>
      </c>
      <c r="J4" s="108">
        <f t="shared" ref="J4:J23" si="1">-1*D4</f>
        <v>0</v>
      </c>
      <c r="K4" s="109">
        <f>-1*F4</f>
        <v>-966.18357487922708</v>
      </c>
      <c r="W4" s="16"/>
      <c r="X4" s="16"/>
    </row>
    <row r="5" spans="1:24" x14ac:dyDescent="0.25">
      <c r="A5">
        <v>2</v>
      </c>
      <c r="B5" s="16">
        <f>((('A Fasadåtgärd'!$C$51*(1/(1+'A Fasadåtgärd'!$C$10)^A5))))*(('A Fasadåtgärd'!$C$12+1)^NuvFasad!A5)</f>
        <v>15677.755186679051</v>
      </c>
      <c r="C5" s="16">
        <f>IF('A Fasadåtgärd'!$C$8+1&gt;A5,B5,0)</f>
        <v>15677.755186679051</v>
      </c>
      <c r="D5" s="16"/>
      <c r="E5" s="16">
        <f>'A Fasadåtgärd'!$C$41/(POWER(1+'A Fasadåtgärd'!$C$10,A5))</f>
        <v>933.51070036640306</v>
      </c>
      <c r="F5" s="16">
        <f>IF('A Fasadåtgärd'!$C$8+1&gt;A5,E5,0)</f>
        <v>933.51070036640306</v>
      </c>
      <c r="G5" s="109"/>
      <c r="H5" s="108">
        <v>2</v>
      </c>
      <c r="I5" s="109">
        <f t="shared" si="0"/>
        <v>15677.755186679051</v>
      </c>
      <c r="J5" s="108">
        <f t="shared" si="1"/>
        <v>0</v>
      </c>
      <c r="K5" s="109">
        <f t="shared" ref="K5:K23" si="2">-1*F5</f>
        <v>-933.51070036640306</v>
      </c>
      <c r="W5" s="16"/>
      <c r="X5" s="16"/>
    </row>
    <row r="6" spans="1:24" x14ac:dyDescent="0.25">
      <c r="A6">
        <v>3</v>
      </c>
      <c r="B6" s="16">
        <f>((('A Fasadåtgärd'!$C$51*(1/(1+'A Fasadåtgärd'!$C$10)^A6))))*(('A Fasadåtgärd'!$C$12+1)^NuvFasad!A6)</f>
        <v>15321.786832198903</v>
      </c>
      <c r="C6" s="16">
        <f>IF('A Fasadåtgärd'!$C$8+1&gt;A6,B6,0)</f>
        <v>15321.786832198903</v>
      </c>
      <c r="D6" s="16"/>
      <c r="E6" s="16">
        <f>'A Fasadåtgärd'!$C$41/(POWER(1+'A Fasadåtgärd'!$C$10,A6))</f>
        <v>901.94270566802243</v>
      </c>
      <c r="F6" s="16">
        <f>IF('A Fasadåtgärd'!$C$8+1&gt;A6,E6,0)</f>
        <v>901.94270566802243</v>
      </c>
      <c r="G6" s="109"/>
      <c r="H6" s="108">
        <v>3</v>
      </c>
      <c r="I6" s="109">
        <f t="shared" si="0"/>
        <v>15321.786832198903</v>
      </c>
      <c r="J6" s="108">
        <f t="shared" si="1"/>
        <v>0</v>
      </c>
      <c r="K6" s="109">
        <f t="shared" si="2"/>
        <v>-901.94270566802243</v>
      </c>
      <c r="W6" s="16"/>
      <c r="X6" s="16"/>
    </row>
    <row r="7" spans="1:24" x14ac:dyDescent="0.25">
      <c r="A7">
        <v>4</v>
      </c>
      <c r="B7" s="16">
        <f>((('A Fasadåtgärd'!$C$51*(1/(1+'A Fasadåtgärd'!$C$10)^A7))))*(('A Fasadåtgärd'!$C$12+1)^NuvFasad!A7)</f>
        <v>14973.900850984726</v>
      </c>
      <c r="C7" s="16">
        <f>IF('A Fasadåtgärd'!$C$8+1&gt;A7,B7,0)</f>
        <v>14973.900850984726</v>
      </c>
      <c r="D7" s="16"/>
      <c r="E7" s="16">
        <f>'A Fasadåtgärd'!$C$41/(POWER(1+'A Fasadåtgärd'!$C$10,A7))</f>
        <v>871.44222769857242</v>
      </c>
      <c r="F7" s="16">
        <f>IF('A Fasadåtgärd'!$C$8+1&gt;A7,E7,0)</f>
        <v>871.44222769857242</v>
      </c>
      <c r="G7" s="109"/>
      <c r="H7" s="108">
        <v>4</v>
      </c>
      <c r="I7" s="109">
        <f t="shared" si="0"/>
        <v>14973.900850984726</v>
      </c>
      <c r="J7" s="108">
        <f t="shared" si="1"/>
        <v>0</v>
      </c>
      <c r="K7" s="109">
        <f t="shared" si="2"/>
        <v>-871.44222769857242</v>
      </c>
      <c r="W7" s="16"/>
      <c r="X7" s="16"/>
    </row>
    <row r="8" spans="1:24" x14ac:dyDescent="0.25">
      <c r="A8">
        <v>5</v>
      </c>
      <c r="B8" s="16">
        <f>((('A Fasadåtgärd'!$C$51*(1/(1+'A Fasadåtgärd'!$C$10)^A8))))*(('A Fasadåtgärd'!$C$12+1)^NuvFasad!A8)</f>
        <v>14633.913730213579</v>
      </c>
      <c r="C8" s="16">
        <f>IF('A Fasadåtgärd'!$C$8+1&gt;A8,B8,0)</f>
        <v>14633.913730213579</v>
      </c>
      <c r="D8" s="16"/>
      <c r="E8" s="16">
        <f>'A Fasadåtgärd'!$C$41/(POWER(1+'A Fasadåtgärd'!$C$10,A8))</f>
        <v>841.97316685852422</v>
      </c>
      <c r="F8" s="16">
        <f>IF('A Fasadåtgärd'!$C$8+1&gt;A8,E8,0)</f>
        <v>841.97316685852422</v>
      </c>
      <c r="G8" s="109"/>
      <c r="H8" s="108">
        <v>5</v>
      </c>
      <c r="I8" s="109">
        <f t="shared" si="0"/>
        <v>14633.913730213579</v>
      </c>
      <c r="J8" s="108">
        <f t="shared" si="1"/>
        <v>0</v>
      </c>
      <c r="K8" s="109">
        <f t="shared" si="2"/>
        <v>-841.97316685852422</v>
      </c>
      <c r="W8" s="16"/>
      <c r="X8" s="16"/>
    </row>
    <row r="9" spans="1:24" x14ac:dyDescent="0.25">
      <c r="A9">
        <v>6</v>
      </c>
      <c r="B9" s="16">
        <f>((('A Fasadåtgärd'!$C$51*(1/(1+'A Fasadåtgärd'!$C$10)^A9))))*(('A Fasadåtgärd'!$C$12+1)^NuvFasad!A9)</f>
        <v>14301.646123778779</v>
      </c>
      <c r="C9" s="16">
        <f>IF('A Fasadåtgärd'!$C$8+1&gt;A9,B9,0)</f>
        <v>14301.646123778779</v>
      </c>
      <c r="D9" s="16"/>
      <c r="E9" s="16">
        <f>'A Fasadåtgärd'!$C$41/(POWER(1+'A Fasadåtgärd'!$C$10,A9))</f>
        <v>813.50064430775274</v>
      </c>
      <c r="F9" s="16">
        <f>IF('A Fasadåtgärd'!$C$8+1&gt;A9,E9,0)</f>
        <v>813.50064430775274</v>
      </c>
      <c r="G9" s="109"/>
      <c r="H9" s="108">
        <v>6</v>
      </c>
      <c r="I9" s="109">
        <f t="shared" si="0"/>
        <v>14301.646123778779</v>
      </c>
      <c r="J9" s="108">
        <f t="shared" si="1"/>
        <v>0</v>
      </c>
      <c r="K9" s="109">
        <f t="shared" si="2"/>
        <v>-813.50064430775274</v>
      </c>
      <c r="W9" s="16"/>
      <c r="X9" s="16"/>
    </row>
    <row r="10" spans="1:24" x14ac:dyDescent="0.25">
      <c r="A10">
        <v>7</v>
      </c>
      <c r="B10" s="16">
        <f>((('A Fasadåtgärd'!$C$51*(1/(1+'A Fasadåtgärd'!$C$10)^A10))))*(('A Fasadåtgärd'!$C$12+1)^NuvFasad!A10)</f>
        <v>13976.92275768332</v>
      </c>
      <c r="C10" s="16">
        <f>IF('A Fasadåtgärd'!$C$8+1&gt;A10,B10,0)</f>
        <v>13976.92275768332</v>
      </c>
      <c r="D10" s="16"/>
      <c r="E10" s="16">
        <f>'A Fasadåtgärd'!$C$41/(POWER(1+'A Fasadåtgärd'!$C$10,A10))</f>
        <v>785.99096068381914</v>
      </c>
      <c r="F10" s="16">
        <f>IF('A Fasadåtgärd'!$C$8+1&gt;A10,E10,0)</f>
        <v>785.99096068381914</v>
      </c>
      <c r="G10" s="109"/>
      <c r="H10" s="108">
        <v>7</v>
      </c>
      <c r="I10" s="109">
        <f t="shared" si="0"/>
        <v>13976.92275768332</v>
      </c>
      <c r="J10" s="108">
        <f t="shared" si="1"/>
        <v>0</v>
      </c>
      <c r="K10" s="109">
        <f t="shared" si="2"/>
        <v>-785.99096068381914</v>
      </c>
      <c r="W10" s="16"/>
      <c r="X10" s="16"/>
    </row>
    <row r="11" spans="1:24" x14ac:dyDescent="0.25">
      <c r="A11">
        <v>8</v>
      </c>
      <c r="B11" s="16">
        <f>((('A Fasadåtgärd'!$C$51*(1/(1+'A Fasadåtgärd'!$C$10)^A11))))*(('A Fasadåtgärd'!$C$12+1)^NuvFasad!A11)</f>
        <v>13659.572337581336</v>
      </c>
      <c r="C11" s="16">
        <f>IF('A Fasadåtgärd'!$C$8+1&gt;A11,B11,0)</f>
        <v>13659.572337581336</v>
      </c>
      <c r="D11" s="16"/>
      <c r="E11" s="16">
        <f>'A Fasadåtgärd'!$C$41/(POWER(1+'A Fasadåtgärd'!$C$10,A11))</f>
        <v>759.41155621625057</v>
      </c>
      <c r="F11" s="16">
        <f>IF('A Fasadåtgärd'!$C$8+1&gt;A11,E11,0)</f>
        <v>759.41155621625057</v>
      </c>
      <c r="G11" s="109"/>
      <c r="H11" s="108">
        <v>8</v>
      </c>
      <c r="I11" s="109">
        <f t="shared" si="0"/>
        <v>13659.572337581336</v>
      </c>
      <c r="J11" s="108">
        <f t="shared" si="1"/>
        <v>0</v>
      </c>
      <c r="K11" s="109">
        <f t="shared" si="2"/>
        <v>-759.41155621625057</v>
      </c>
      <c r="W11" s="16"/>
      <c r="X11" s="16"/>
    </row>
    <row r="12" spans="1:24" x14ac:dyDescent="0.25">
      <c r="A12">
        <v>9</v>
      </c>
      <c r="B12" s="16">
        <f>((('A Fasadåtgärd'!$C$51*(1/(1+'A Fasadåtgärd'!$C$10)^A12))))*(('A Fasadåtgärd'!$C$12+1)^NuvFasad!A12)</f>
        <v>13349.427458418864</v>
      </c>
      <c r="C12" s="16">
        <f>IF('A Fasadåtgärd'!$C$8+1&gt;A12,B12,0)</f>
        <v>13349.427458418864</v>
      </c>
      <c r="D12" s="16"/>
      <c r="E12" s="16">
        <f>'A Fasadåtgärd'!$C$41/(POWER(1+'A Fasadåtgärd'!$C$10,A12))</f>
        <v>733.73097218961414</v>
      </c>
      <c r="F12" s="16">
        <f>IF('A Fasadåtgärd'!$C$8+1&gt;A12,E12,0)</f>
        <v>733.73097218961414</v>
      </c>
      <c r="G12" s="109"/>
      <c r="H12" s="108">
        <v>9</v>
      </c>
      <c r="I12" s="109">
        <f t="shared" si="0"/>
        <v>13349.427458418864</v>
      </c>
      <c r="J12" s="108">
        <f t="shared" si="1"/>
        <v>0</v>
      </c>
      <c r="K12" s="109">
        <f t="shared" si="2"/>
        <v>-733.73097218961414</v>
      </c>
      <c r="W12" s="16"/>
      <c r="X12" s="16"/>
    </row>
    <row r="13" spans="1:24" x14ac:dyDescent="0.25">
      <c r="A13">
        <v>10</v>
      </c>
      <c r="B13" s="16">
        <f>((('A Fasadåtgärd'!$C$51*(1/(1+'A Fasadåtgärd'!$C$10)^A13))))*(('A Fasadåtgärd'!$C$12+1)^NuvFasad!A13)</f>
        <v>13046.324516126264</v>
      </c>
      <c r="C13" s="16">
        <f>IF('A Fasadåtgärd'!$C$8+1&gt;A13,B13,0)</f>
        <v>13046.324516126264</v>
      </c>
      <c r="D13" s="16"/>
      <c r="E13" s="16">
        <f>'A Fasadåtgärd'!$C$41/(POWER(1+'A Fasadåtgärd'!$C$10,A13))</f>
        <v>708.91881370977217</v>
      </c>
      <c r="F13" s="16">
        <f>IF('A Fasadåtgärd'!$C$8+1&gt;A13,E13,0)</f>
        <v>708.91881370977217</v>
      </c>
      <c r="G13" s="109"/>
      <c r="H13" s="108">
        <v>10</v>
      </c>
      <c r="I13" s="109">
        <f t="shared" si="0"/>
        <v>13046.324516126264</v>
      </c>
      <c r="J13" s="108">
        <f t="shared" si="1"/>
        <v>0</v>
      </c>
      <c r="K13" s="109">
        <f t="shared" si="2"/>
        <v>-708.91881370977217</v>
      </c>
      <c r="W13" s="16"/>
      <c r="X13" s="16"/>
    </row>
    <row r="14" spans="1:24" x14ac:dyDescent="0.25">
      <c r="A14">
        <v>11</v>
      </c>
      <c r="B14" s="16">
        <f>((('A Fasadåtgärd'!$C$51*(1/(1+'A Fasadåtgärd'!$C$10)^A14))))*(('A Fasadåtgärd'!$C$12+1)^NuvFasad!A14)</f>
        <v>12750.103621315668</v>
      </c>
      <c r="C14" s="16">
        <f>IF('A Fasadåtgärd'!$C$8+1&gt;A14,B14,0)</f>
        <v>12750.103621315668</v>
      </c>
      <c r="D14" s="16"/>
      <c r="E14" s="16">
        <f>'A Fasadåtgärd'!$C$41/(POWER(1+'A Fasadåtgärd'!$C$10,A14))</f>
        <v>684.9457137292485</v>
      </c>
      <c r="F14" s="16">
        <f>IF('A Fasadåtgärd'!$C$8+1&gt;A14,E14,0)</f>
        <v>684.9457137292485</v>
      </c>
      <c r="G14" s="109"/>
      <c r="H14" s="108">
        <v>11</v>
      </c>
      <c r="I14" s="109">
        <f t="shared" si="0"/>
        <v>12750.103621315668</v>
      </c>
      <c r="J14" s="108">
        <f t="shared" si="1"/>
        <v>0</v>
      </c>
      <c r="K14" s="109">
        <f t="shared" si="2"/>
        <v>-684.9457137292485</v>
      </c>
      <c r="W14" s="16"/>
      <c r="X14" s="16"/>
    </row>
    <row r="15" spans="1:24" x14ac:dyDescent="0.25">
      <c r="A15">
        <v>12</v>
      </c>
      <c r="B15" s="16">
        <f>((('A Fasadåtgärd'!$C$51*(1/(1+'A Fasadåtgärd'!$C$10)^A15))))*(('A Fasadåtgärd'!$C$12+1)^NuvFasad!A15)</f>
        <v>12460.608514937972</v>
      </c>
      <c r="C15" s="16">
        <f>IF('A Fasadåtgärd'!$C$8+1&gt;A15,B15,0)</f>
        <v>12460.608514937972</v>
      </c>
      <c r="D15" s="16"/>
      <c r="E15" s="16">
        <f>'A Fasadåtgärd'!$C$41/(POWER(1+'A Fasadåtgärd'!$C$10,A15))</f>
        <v>661.78329828912899</v>
      </c>
      <c r="F15" s="16">
        <f>IF('A Fasadåtgärd'!$C$8+1&gt;A15,E15,0)</f>
        <v>661.78329828912899</v>
      </c>
      <c r="G15" s="109"/>
      <c r="H15" s="108">
        <v>12</v>
      </c>
      <c r="I15" s="109">
        <f t="shared" si="0"/>
        <v>12460.608514937972</v>
      </c>
      <c r="J15" s="108">
        <f t="shared" si="1"/>
        <v>0</v>
      </c>
      <c r="K15" s="109">
        <f t="shared" si="2"/>
        <v>-661.78329828912899</v>
      </c>
      <c r="W15" s="16"/>
      <c r="X15" s="16"/>
    </row>
    <row r="16" spans="1:24" x14ac:dyDescent="0.25">
      <c r="A16">
        <v>13</v>
      </c>
      <c r="B16" s="16">
        <f>((('A Fasadåtgärd'!$C$51*(1/(1+'A Fasadåtgärd'!$C$10)^A16))))*(('A Fasadåtgärd'!$C$12+1)^NuvFasad!A16)</f>
        <v>12177.686485854842</v>
      </c>
      <c r="C16" s="16">
        <f>IF('A Fasadåtgärd'!$C$8+1&gt;A16,B16,0)</f>
        <v>12177.686485854842</v>
      </c>
      <c r="D16" s="16"/>
      <c r="E16" s="16">
        <f>'A Fasadåtgärd'!$C$41/(POWER(1+'A Fasadåtgärd'!$C$10,A16))</f>
        <v>639.4041529363567</v>
      </c>
      <c r="F16" s="16">
        <f>IF('A Fasadåtgärd'!$C$8+1&gt;A16,E16,0)</f>
        <v>639.4041529363567</v>
      </c>
      <c r="G16" s="109"/>
      <c r="H16" s="108">
        <v>13</v>
      </c>
      <c r="I16" s="109">
        <f t="shared" si="0"/>
        <v>12177.686485854842</v>
      </c>
      <c r="J16" s="108">
        <f t="shared" si="1"/>
        <v>0</v>
      </c>
      <c r="K16" s="109">
        <f t="shared" si="2"/>
        <v>-639.4041529363567</v>
      </c>
      <c r="W16" s="16"/>
      <c r="X16" s="16"/>
    </row>
    <row r="17" spans="1:24" x14ac:dyDescent="0.25">
      <c r="A17">
        <v>14</v>
      </c>
      <c r="B17" s="16">
        <f>((('A Fasadåtgärd'!$C$51*(1/(1+'A Fasadåtgärd'!$C$10)^A17))))*(('A Fasadåtgärd'!$C$12+1)^NuvFasad!A17)</f>
        <v>11901.188290282291</v>
      </c>
      <c r="C17" s="16">
        <f>IF('A Fasadåtgärd'!$C$8+1&gt;A17,B17,0)</f>
        <v>11901.188290282291</v>
      </c>
      <c r="D17" s="16"/>
      <c r="E17" s="16">
        <f>'A Fasadåtgärd'!$C$41/(POWER(1+'A Fasadåtgärd'!$C$10,A17))</f>
        <v>617.78179027667306</v>
      </c>
      <c r="F17" s="16">
        <f>IF('A Fasadåtgärd'!$C$8+1&gt;A17,E17,0)</f>
        <v>617.78179027667306</v>
      </c>
      <c r="G17" s="109"/>
      <c r="H17" s="108">
        <v>14</v>
      </c>
      <c r="I17" s="109">
        <f t="shared" si="0"/>
        <v>11901.188290282291</v>
      </c>
      <c r="J17" s="108">
        <f t="shared" si="1"/>
        <v>0</v>
      </c>
      <c r="K17" s="109">
        <f t="shared" si="2"/>
        <v>-617.78179027667306</v>
      </c>
      <c r="W17" s="16"/>
      <c r="X17" s="16"/>
    </row>
    <row r="18" spans="1:24" x14ac:dyDescent="0.25">
      <c r="A18">
        <v>15</v>
      </c>
      <c r="B18" s="16">
        <f>((('A Fasadåtgärd'!$C$51*(1/(1+'A Fasadåtgärd'!$C$10)^A18))))*(('A Fasadåtgärd'!$C$12+1)^NuvFasad!A18)</f>
        <v>11630.968073063326</v>
      </c>
      <c r="C18" s="16">
        <f>IF('A Fasadåtgärd'!$C$8+1&gt;A18,B18,0)</f>
        <v>11630.968073063326</v>
      </c>
      <c r="D18" s="16"/>
      <c r="E18" s="16">
        <f>'A Fasadåtgärd'!$C$41/(POWER(1+'A Fasadåtgärd'!$C$10,A18))</f>
        <v>596.89061862480492</v>
      </c>
      <c r="F18" s="16">
        <f>IF('A Fasadåtgärd'!$C$8+1&gt;A18,E18,0)</f>
        <v>596.89061862480492</v>
      </c>
      <c r="G18" s="109"/>
      <c r="H18" s="108">
        <v>15</v>
      </c>
      <c r="I18" s="109">
        <f t="shared" si="0"/>
        <v>11630.968073063326</v>
      </c>
      <c r="J18" s="108">
        <f t="shared" si="1"/>
        <v>0</v>
      </c>
      <c r="K18" s="109">
        <f t="shared" si="2"/>
        <v>-596.89061862480492</v>
      </c>
      <c r="W18" s="16"/>
      <c r="X18" s="16"/>
    </row>
    <row r="19" spans="1:24" x14ac:dyDescent="0.25">
      <c r="A19">
        <v>16</v>
      </c>
      <c r="B19" s="16">
        <f>((('A Fasadåtgärd'!$C$51*(1/(1+'A Fasadåtgärd'!$C$10)^A19))))*(('A Fasadåtgärd'!$C$12+1)^NuvFasad!A19)</f>
        <v>11366.883290728076</v>
      </c>
      <c r="C19" s="16">
        <f>IF('A Fasadåtgärd'!$C$8+1&gt;A19,B19,0)</f>
        <v>11366.883290728076</v>
      </c>
      <c r="D19" s="16"/>
      <c r="E19" s="16">
        <f>'A Fasadåtgärd'!$C$41/(POWER(1+'A Fasadåtgärd'!$C$10,A19))</f>
        <v>576.70591171478748</v>
      </c>
      <c r="F19" s="16">
        <f>IF('A Fasadåtgärd'!$C$8+1&gt;A19,E19,0)</f>
        <v>576.70591171478748</v>
      </c>
      <c r="G19" s="109"/>
      <c r="H19" s="108">
        <v>16</v>
      </c>
      <c r="I19" s="109">
        <f t="shared" si="0"/>
        <v>11366.883290728076</v>
      </c>
      <c r="J19" s="108">
        <f t="shared" si="1"/>
        <v>0</v>
      </c>
      <c r="K19" s="109">
        <f t="shared" si="2"/>
        <v>-576.70591171478748</v>
      </c>
      <c r="W19" s="16"/>
      <c r="X19" s="16"/>
    </row>
    <row r="20" spans="1:24" x14ac:dyDescent="0.25">
      <c r="A20">
        <v>17</v>
      </c>
      <c r="B20" s="16">
        <f>((('A Fasadåtgärd'!$C$51*(1/(1+'A Fasadåtgärd'!$C$10)^A20))))*(('A Fasadåtgärd'!$C$12+1)^NuvFasad!A20)</f>
        <v>11108.794636300918</v>
      </c>
      <c r="C20" s="16">
        <f>IF('A Fasadåtgärd'!$C$8+1&gt;A20,B20,0)</f>
        <v>11108.794636300918</v>
      </c>
      <c r="D20" s="16"/>
      <c r="E20" s="16">
        <f>'A Fasadåtgärd'!$C$41/(POWER(1+'A Fasadåtgärd'!$C$10,A20))</f>
        <v>557.20377943457731</v>
      </c>
      <c r="F20" s="16">
        <f>IF('A Fasadåtgärd'!$C$8+1&gt;A20,E20,0)</f>
        <v>557.20377943457731</v>
      </c>
      <c r="G20" s="109"/>
      <c r="H20" s="108">
        <v>17</v>
      </c>
      <c r="I20" s="109">
        <f t="shared" si="0"/>
        <v>11108.794636300918</v>
      </c>
      <c r="J20" s="108">
        <f t="shared" si="1"/>
        <v>0</v>
      </c>
      <c r="K20" s="109">
        <f t="shared" si="2"/>
        <v>-557.20377943457731</v>
      </c>
      <c r="W20" s="16"/>
      <c r="X20" s="16"/>
    </row>
    <row r="21" spans="1:24" x14ac:dyDescent="0.25">
      <c r="A21">
        <v>18</v>
      </c>
      <c r="B21" s="16">
        <f>((('A Fasadåtgärd'!$C$51*(1/(1+'A Fasadåtgärd'!$C$10)^A21))))*(('A Fasadåtgärd'!$C$12+1)^NuvFasad!A21)</f>
        <v>10856.56596581486</v>
      </c>
      <c r="C21" s="16">
        <f>IF('A Fasadåtgärd'!$C$8+1&gt;A21,B21,0)</f>
        <v>10856.56596581486</v>
      </c>
      <c r="D21" s="16"/>
      <c r="E21" s="16">
        <f>'A Fasadåtgärd'!$C$41/(POWER(1+'A Fasadåtgärd'!$C$10,A21))</f>
        <v>538.36113955031624</v>
      </c>
      <c r="F21" s="16">
        <f>IF('A Fasadåtgärd'!$C$8+1&gt;A21,E21,0)</f>
        <v>538.36113955031624</v>
      </c>
      <c r="G21" s="109"/>
      <c r="H21" s="108">
        <v>18</v>
      </c>
      <c r="I21" s="109">
        <f t="shared" si="0"/>
        <v>10856.56596581486</v>
      </c>
      <c r="J21" s="108">
        <f t="shared" si="1"/>
        <v>0</v>
      </c>
      <c r="K21" s="109">
        <f t="shared" si="2"/>
        <v>-538.36113955031624</v>
      </c>
      <c r="W21" s="16"/>
      <c r="X21" s="16"/>
    </row>
    <row r="22" spans="1:24" x14ac:dyDescent="0.25">
      <c r="A22">
        <v>19</v>
      </c>
      <c r="B22" s="16">
        <f>((('A Fasadåtgärd'!$C$51*(1/(1+'A Fasadåtgärd'!$C$10)^A22))))*(('A Fasadåtgärd'!$C$12+1)^NuvFasad!A22)</f>
        <v>10610.064226494429</v>
      </c>
      <c r="C22" s="16">
        <f>IF('A Fasadåtgärd'!$C$8+1&gt;A22,B22,0)</f>
        <v>10610.064226494429</v>
      </c>
      <c r="D22" s="16"/>
      <c r="E22" s="16">
        <f>'A Fasadåtgärd'!$C$41/(POWER(1+'A Fasadåtgärd'!$C$10,A22))</f>
        <v>520.15569038677904</v>
      </c>
      <c r="F22" s="16">
        <f>IF('A Fasadåtgärd'!$C$8+1&gt;A22,E22,0)</f>
        <v>520.15569038677904</v>
      </c>
      <c r="G22" s="109"/>
      <c r="H22" s="108">
        <v>19</v>
      </c>
      <c r="I22" s="109">
        <f t="shared" si="0"/>
        <v>10610.064226494429</v>
      </c>
      <c r="J22" s="108">
        <f t="shared" si="1"/>
        <v>0</v>
      </c>
      <c r="K22" s="109">
        <f t="shared" si="2"/>
        <v>-520.15569038677904</v>
      </c>
      <c r="W22" s="16"/>
      <c r="X22" s="16"/>
    </row>
    <row r="23" spans="1:24" x14ac:dyDescent="0.25">
      <c r="A23">
        <v>20</v>
      </c>
      <c r="B23" s="16">
        <f>((('A Fasadåtgärd'!$C$51*(1/(1+'A Fasadåtgärd'!$C$10)^A23))))*(('A Fasadåtgärd'!$C$12+1)^NuvFasad!A23)</f>
        <v>10369.159386569192</v>
      </c>
      <c r="C23" s="16">
        <f>IF('A Fasadåtgärd'!$C$8+1&gt;A23,B23,0)</f>
        <v>10369.159386569192</v>
      </c>
      <c r="D23" s="16"/>
      <c r="E23" s="16">
        <f>'A Fasadåtgärd'!$C$41/(POWER(1+'A Fasadåtgärd'!$C$10,A23))</f>
        <v>502.56588443167067</v>
      </c>
      <c r="F23" s="16">
        <f>IF('A Fasadåtgärd'!$C$8+1&gt;A23,E23,0)</f>
        <v>502.56588443167067</v>
      </c>
      <c r="G23" s="109"/>
      <c r="H23" s="108">
        <v>20</v>
      </c>
      <c r="I23" s="109">
        <f t="shared" si="0"/>
        <v>10369.159386569192</v>
      </c>
      <c r="J23" s="108">
        <f t="shared" si="1"/>
        <v>0</v>
      </c>
      <c r="K23" s="109">
        <f t="shared" si="2"/>
        <v>-502.56588443167067</v>
      </c>
      <c r="W23" s="16"/>
      <c r="X23" s="16"/>
    </row>
    <row r="24" spans="1:24" x14ac:dyDescent="0.25">
      <c r="A24">
        <v>21</v>
      </c>
      <c r="B24" s="16">
        <f>((('A Fasadåtgärd'!$C$51*(1/(1+'A Fasadåtgärd'!$C$10)^A24))))*(('A Fasadåtgärd'!$C$12+1)^NuvFasad!A24)</f>
        <v>10133.72436668091</v>
      </c>
      <c r="C24" s="16">
        <f>IF('A Fasadåtgärd'!$C$8+1&gt;A24,B24,0)</f>
        <v>0</v>
      </c>
      <c r="D24" s="16"/>
      <c r="E24" s="16">
        <f>'A Fasadåtgärd'!$C$41/(POWER(1+'A Fasadåtgärd'!$C$10,A24))</f>
        <v>485.57090283253211</v>
      </c>
      <c r="F24" s="16">
        <f>IF('A Fasadåtgärd'!$C$8+1&gt;A24,E24,0)</f>
        <v>0</v>
      </c>
      <c r="G24" s="109"/>
      <c r="W24" s="16"/>
      <c r="X24" s="16"/>
    </row>
    <row r="25" spans="1:24" x14ac:dyDescent="0.25">
      <c r="A25">
        <v>22</v>
      </c>
      <c r="B25" s="16">
        <f>((('A Fasadåtgärd'!$C$51*(1/(1+'A Fasadåtgärd'!$C$10)^A25))))*(('A Fasadåtgärd'!$C$12+1)^NuvFasad!A25)</f>
        <v>9903.6349728480582</v>
      </c>
      <c r="C25" s="16">
        <f>IF('A Fasadåtgärd'!$C$8+1&gt;A25,B25,0)</f>
        <v>0</v>
      </c>
      <c r="D25" s="16"/>
      <c r="E25" s="16">
        <f>'A Fasadåtgärd'!$C$41/(POWER(1+'A Fasadåtgärd'!$C$10,A25))</f>
        <v>469.15063075606969</v>
      </c>
      <c r="F25" s="16">
        <f>IF('A Fasadåtgärd'!$C$8+1&gt;A25,E25,0)</f>
        <v>0</v>
      </c>
      <c r="G25" s="109"/>
      <c r="H25" s="108" t="s">
        <v>155</v>
      </c>
      <c r="I25" s="109">
        <f>SUM(I3:I23)</f>
        <v>260215.26597579542</v>
      </c>
      <c r="J25" s="109">
        <f>SUM(J3:J23)</f>
        <v>0</v>
      </c>
      <c r="K25" s="109">
        <f>SUM(K3:K23)</f>
        <v>-14212.403301952299</v>
      </c>
      <c r="W25" s="16"/>
      <c r="X25" s="16"/>
    </row>
    <row r="26" spans="1:24" x14ac:dyDescent="0.25">
      <c r="A26">
        <v>23</v>
      </c>
      <c r="B26" s="16">
        <f>((('A Fasadåtgärd'!$C$51*(1/(1+'A Fasadåtgärd'!$C$10)^A26))))*(('A Fasadåtgärd'!$C$12+1)^NuvFasad!A26)</f>
        <v>9678.7698309524767</v>
      </c>
      <c r="C26" s="16">
        <f>IF('A Fasadåtgärd'!$C$8+1&gt;A26,B26,0)</f>
        <v>0</v>
      </c>
      <c r="D26" s="16"/>
      <c r="E26" s="16">
        <f>'A Fasadåtgärd'!$C$41/(POWER(1+'A Fasadåtgärd'!$C$10,A26))</f>
        <v>453.28563358074365</v>
      </c>
      <c r="F26" s="16">
        <f>IF('A Fasadåtgärd'!$C$8+1&gt;A26,E26,0)</f>
        <v>0</v>
      </c>
      <c r="G26" s="109"/>
      <c r="W26" s="16"/>
      <c r="X26" s="16"/>
    </row>
    <row r="27" spans="1:24" x14ac:dyDescent="0.25">
      <c r="A27">
        <v>24</v>
      </c>
      <c r="B27" s="16">
        <f>((('A Fasadåtgärd'!$C$51*(1/(1+'A Fasadåtgärd'!$C$10)^A27))))*(('A Fasadåtgärd'!$C$12+1)^NuvFasad!A27)</f>
        <v>9459.0103227134623</v>
      </c>
      <c r="C27" s="16">
        <f>IF('A Fasadåtgärd'!$C$8+1&gt;A27,B27,0)</f>
        <v>0</v>
      </c>
      <c r="D27" s="16"/>
      <c r="E27" s="16">
        <f>'A Fasadåtgärd'!$C$41/(POWER(1+'A Fasadåtgärd'!$C$10,A27))</f>
        <v>437.95713389443841</v>
      </c>
      <c r="F27" s="16">
        <f>IF('A Fasadåtgärd'!$C$8+1&gt;A27,E27,0)</f>
        <v>0</v>
      </c>
      <c r="G27" s="109"/>
      <c r="W27" s="16"/>
      <c r="X27" s="16"/>
    </row>
    <row r="28" spans="1:24" x14ac:dyDescent="0.25">
      <c r="A28">
        <v>25</v>
      </c>
      <c r="B28" s="16">
        <f>((('A Fasadåtgärd'!$C$51*(1/(1+'A Fasadåtgärd'!$C$10)^A28))))*(('A Fasadåtgärd'!$C$12+1)^NuvFasad!A28)</f>
        <v>9244.2405231156226</v>
      </c>
      <c r="C28" s="16">
        <f>IF('A Fasadåtgärd'!$C$8+1&gt;A28,B28,0)</f>
        <v>0</v>
      </c>
      <c r="D28" s="16"/>
      <c r="E28" s="16">
        <f>'A Fasadåtgärd'!$C$41/(POWER(1+'A Fasadåtgärd'!$C$10,A28))</f>
        <v>423.14698926998881</v>
      </c>
      <c r="F28" s="16">
        <f>IF('A Fasadåtgärd'!$C$8+1&gt;A28,E28,0)</f>
        <v>0</v>
      </c>
      <c r="G28" s="109"/>
      <c r="W28" s="16"/>
      <c r="X28" s="16"/>
    </row>
    <row r="29" spans="1:24" x14ac:dyDescent="0.25">
      <c r="A29">
        <v>26</v>
      </c>
      <c r="B29" s="16">
        <f>((('A Fasadåtgärd'!$C$51*(1/(1+'A Fasadåtgärd'!$C$10)^A29))))*(('A Fasadåtgärd'!$C$12+1)^NuvFasad!A29)</f>
        <v>9034.3471392574429</v>
      </c>
      <c r="C29" s="16">
        <f>IF('A Fasadåtgärd'!$C$8+1&gt;A29,B29,0)</f>
        <v>0</v>
      </c>
      <c r="D29" s="16"/>
      <c r="E29" s="16">
        <f>'A Fasadåtgärd'!$C$41/(POWER(1+'A Fasadåtgärd'!$C$10,A29))</f>
        <v>408.83767079225976</v>
      </c>
      <c r="F29" s="16">
        <f>IF('A Fasadåtgärd'!$C$8+1&gt;A29,E29,0)</f>
        <v>0</v>
      </c>
      <c r="G29" s="109"/>
      <c r="W29" s="16"/>
      <c r="X29" s="16"/>
    </row>
    <row r="30" spans="1:24" x14ac:dyDescent="0.25">
      <c r="A30">
        <v>27</v>
      </c>
      <c r="B30" s="16">
        <f>((('A Fasadåtgärd'!$C$51*(1/(1+'A Fasadåtgärd'!$C$10)^A30))))*(('A Fasadåtgärd'!$C$12+1)^NuvFasad!A30)</f>
        <v>8829.2194505883126</v>
      </c>
      <c r="C30" s="16">
        <f>IF('A Fasadåtgärd'!$C$8+1&gt;A30,B30,0)</f>
        <v>0</v>
      </c>
      <c r="D30" s="16"/>
      <c r="E30" s="16">
        <f>'A Fasadåtgärd'!$C$41/(POWER(1+'A Fasadåtgärd'!$C$10,A30))</f>
        <v>395.01224231136206</v>
      </c>
      <c r="F30" s="16">
        <f>IF('A Fasadåtgärd'!$C$8+1&gt;A30,E30,0)</f>
        <v>0</v>
      </c>
      <c r="G30" s="109"/>
      <c r="W30" s="16"/>
      <c r="X30" s="16"/>
    </row>
    <row r="31" spans="1:24" x14ac:dyDescent="0.25">
      <c r="A31">
        <v>28</v>
      </c>
      <c r="B31" s="16">
        <f>((('A Fasadåtgärd'!$C$51*(1/(1+'A Fasadåtgärd'!$C$10)^A31))))*(('A Fasadåtgärd'!$C$12+1)^NuvFasad!A31)</f>
        <v>8628.7492505024911</v>
      </c>
      <c r="C31" s="16">
        <f>IF('A Fasadåtgärd'!$C$8+1&gt;A31,B31,0)</f>
        <v>0</v>
      </c>
      <c r="D31" s="16"/>
      <c r="E31" s="16">
        <f>'A Fasadåtgärd'!$C$41/(POWER(1+'A Fasadåtgärd'!$C$10,A31))</f>
        <v>381.65434039745128</v>
      </c>
      <c r="F31" s="16">
        <f>IF('A Fasadåtgärd'!$C$8+1&gt;A31,E31,0)</f>
        <v>0</v>
      </c>
      <c r="G31" s="109"/>
      <c r="W31" s="16"/>
      <c r="X31" s="16"/>
    </row>
    <row r="32" spans="1:24" x14ac:dyDescent="0.25">
      <c r="A32">
        <v>29</v>
      </c>
      <c r="B32" s="16">
        <f>((('A Fasadåtgärd'!$C$51*(1/(1+'A Fasadåtgärd'!$C$10)^A32))))*(('A Fasadåtgärd'!$C$12+1)^NuvFasad!A32)</f>
        <v>8432.830789259202</v>
      </c>
      <c r="C32" s="16">
        <f>IF('A Fasadåtgärd'!$C$8+1&gt;A32,B32,0)</f>
        <v>0</v>
      </c>
      <c r="D32" s="16"/>
      <c r="E32" s="16">
        <f>'A Fasadåtgärd'!$C$41/(POWER(1+'A Fasadåtgärd'!$C$10,A32))</f>
        <v>368.74815497338295</v>
      </c>
      <c r="F32" s="16">
        <f>IF('A Fasadåtgärd'!$C$8+1&gt;A32,E32,0)</f>
        <v>0</v>
      </c>
      <c r="G32" s="109"/>
      <c r="W32" s="16"/>
      <c r="X32" s="16"/>
    </row>
    <row r="33" spans="1:24" x14ac:dyDescent="0.25">
      <c r="A33">
        <v>30</v>
      </c>
      <c r="B33" s="16">
        <f>((('A Fasadåtgärd'!$C$51*(1/(1+'A Fasadåtgärd'!$C$10)^A33))))*(('A Fasadåtgärd'!$C$12+1)^NuvFasad!A33)</f>
        <v>8241.3607181987245</v>
      </c>
      <c r="C33" s="16">
        <f>IF('A Fasadåtgärd'!$C$8+1&gt;A33,B33,0)</f>
        <v>0</v>
      </c>
      <c r="D33" s="16"/>
      <c r="E33" s="16">
        <f>'A Fasadåtgärd'!$C$41/(POWER(1+'A Fasadåtgärd'!$C$10,A33))</f>
        <v>356.27841060230236</v>
      </c>
      <c r="F33" s="16">
        <f>IF('A Fasadåtgärd'!$C$8+1&gt;A33,E33,0)</f>
        <v>0</v>
      </c>
      <c r="G33" s="109"/>
      <c r="W33" s="16"/>
      <c r="X33" s="16"/>
    </row>
    <row r="34" spans="1:24" x14ac:dyDescent="0.25">
      <c r="A34">
        <v>31</v>
      </c>
      <c r="B34" s="16">
        <f>((('A Fasadåtgärd'!$C$51*(1/(1+'A Fasadåtgärd'!$C$10)^A34))))*(('A Fasadåtgärd'!$C$12+1)^NuvFasad!A34)</f>
        <v>8054.2380352251339</v>
      </c>
      <c r="C34" s="16">
        <f>IF('A Fasadåtgärd'!$C$8+1&gt;A34,B34,0)</f>
        <v>0</v>
      </c>
      <c r="D34" s="16"/>
      <c r="E34" s="16">
        <f>'A Fasadåtgärd'!$C$41/(POWER(1+'A Fasadåtgärd'!$C$10,A34))</f>
        <v>344.23034840802165</v>
      </c>
      <c r="F34" s="16">
        <f>IF('A Fasadåtgärd'!$C$8+1&gt;A34,E34,0)</f>
        <v>0</v>
      </c>
      <c r="G34" s="109"/>
      <c r="W34" s="16"/>
      <c r="X34" s="16"/>
    </row>
    <row r="35" spans="1:24" x14ac:dyDescent="0.25">
      <c r="A35">
        <v>32</v>
      </c>
      <c r="B35" s="16">
        <f>((('A Fasadåtgärd'!$C$51*(1/(1+'A Fasadåtgärd'!$C$10)^A35))))*(('A Fasadåtgärd'!$C$12+1)^NuvFasad!A35)</f>
        <v>7871.3640315267885</v>
      </c>
      <c r="C35" s="16">
        <f>IF('A Fasadåtgärd'!$C$8+1&gt;A35,B35,0)</f>
        <v>0</v>
      </c>
      <c r="D35" s="16"/>
      <c r="E35" s="16">
        <f>'A Fasadåtgärd'!$C$41/(POWER(1+'A Fasadåtgärd'!$C$10,A35))</f>
        <v>332.58970860678426</v>
      </c>
      <c r="F35" s="16">
        <f>IF('A Fasadåtgärd'!$C$8+1&gt;A35,E35,0)</f>
        <v>0</v>
      </c>
      <c r="G35" s="109"/>
      <c r="W35" s="16"/>
      <c r="X35" s="16"/>
    </row>
    <row r="36" spans="1:24" x14ac:dyDescent="0.25">
      <c r="A36">
        <v>33</v>
      </c>
      <c r="B36" s="16">
        <f>((('A Fasadåtgärd'!$C$51*(1/(1+'A Fasadåtgärd'!$C$10)^A36))))*(('A Fasadåtgärd'!$C$12+1)^NuvFasad!A36)</f>
        <v>7692.6422395066156</v>
      </c>
      <c r="C36" s="16">
        <f>IF('A Fasadåtgärd'!$C$8+1&gt;A36,B36,0)</f>
        <v>0</v>
      </c>
      <c r="D36" s="16"/>
      <c r="E36" s="16">
        <f>'A Fasadåtgärd'!$C$41/(POWER(1+'A Fasadåtgärd'!$C$10,A36))</f>
        <v>321.34271362974329</v>
      </c>
      <c r="F36" s="16">
        <f>IF('A Fasadåtgärd'!$C$8+1&gt;A36,E36,0)</f>
        <v>0</v>
      </c>
      <c r="G36" s="109"/>
      <c r="W36" s="16"/>
      <c r="X36" s="16"/>
    </row>
    <row r="37" spans="1:24" x14ac:dyDescent="0.25">
      <c r="A37">
        <v>34</v>
      </c>
      <c r="B37" s="16">
        <f>((('A Fasadåtgärd'!$C$51*(1/(1+'A Fasadåtgärd'!$C$10)^A37))))*(('A Fasadåtgärd'!$C$12+1)^NuvFasad!A37)</f>
        <v>7517.9783818946316</v>
      </c>
      <c r="C37" s="16">
        <f>IF('A Fasadåtgärd'!$C$8+1&gt;A37,B37,0)</f>
        <v>0</v>
      </c>
      <c r="D37" s="16"/>
      <c r="E37" s="16">
        <f>'A Fasadåtgärd'!$C$41/(POWER(1+'A Fasadåtgärd'!$C$10,A37))</f>
        <v>310.47605181617712</v>
      </c>
      <c r="F37" s="16">
        <f>IF('A Fasadåtgärd'!$C$8+1&gt;A37,E37,0)</f>
        <v>0</v>
      </c>
      <c r="G37" s="109"/>
      <c r="W37" s="16"/>
      <c r="X37" s="16"/>
    </row>
    <row r="38" spans="1:24" x14ac:dyDescent="0.25">
      <c r="A38">
        <v>35</v>
      </c>
      <c r="B38" s="16">
        <f>((('A Fasadåtgärd'!$C$51*(1/(1+'A Fasadåtgärd'!$C$10)^A38))))*(('A Fasadåtgärd'!$C$12+1)^NuvFasad!A38)</f>
        <v>7347.2803220158648</v>
      </c>
      <c r="C38" s="16">
        <f>IF('A Fasadåtgärd'!$C$8+1&gt;A38,B38,0)</f>
        <v>0</v>
      </c>
      <c r="D38" s="16"/>
      <c r="E38" s="16">
        <f>'A Fasadåtgärd'!$C$41/(POWER(1+'A Fasadåtgärd'!$C$10,A38))</f>
        <v>299.97686165814218</v>
      </c>
      <c r="F38" s="16">
        <f>IF('A Fasadåtgärd'!$C$8+1&gt;A38,E38,0)</f>
        <v>0</v>
      </c>
      <c r="G38" s="109"/>
      <c r="W38" s="16"/>
      <c r="X38" s="16"/>
    </row>
    <row r="39" spans="1:24" x14ac:dyDescent="0.25">
      <c r="A39">
        <v>36</v>
      </c>
      <c r="B39" s="16">
        <f>((('A Fasadåtgärd'!$C$51*(1/(1+'A Fasadåtgärd'!$C$10)^A39))))*(('A Fasadåtgärd'!$C$12+1)^NuvFasad!A39)</f>
        <v>7180.4580151874879</v>
      </c>
      <c r="C39" s="16">
        <f>IF('A Fasadåtgärd'!$C$8+1&gt;A39,B39,0)</f>
        <v>0</v>
      </c>
      <c r="D39" s="16"/>
      <c r="E39" s="16">
        <f>'A Fasadåtgärd'!$C$41/(POWER(1+'A Fasadåtgärd'!$C$10,A39))</f>
        <v>289.83271657791516</v>
      </c>
      <c r="F39" s="16">
        <f>IF('A Fasadåtgärd'!$C$8+1&gt;A39,E39,0)</f>
        <v>0</v>
      </c>
      <c r="G39" s="109"/>
      <c r="W39" s="16"/>
      <c r="X39" s="16"/>
    </row>
    <row r="40" spans="1:24" x14ac:dyDescent="0.25">
      <c r="A40">
        <v>37</v>
      </c>
      <c r="B40" s="16">
        <f>((('A Fasadåtgärd'!$C$51*(1/(1+'A Fasadåtgärd'!$C$10)^A40))))*(('A Fasadåtgärd'!$C$12+1)^NuvFasad!A40)</f>
        <v>7017.4234612194632</v>
      </c>
      <c r="C40" s="16">
        <f>IF('A Fasadåtgärd'!$C$8+1&gt;A40,B40,0)</f>
        <v>0</v>
      </c>
      <c r="D40" s="16"/>
      <c r="E40" s="16">
        <f>'A Fasadåtgärd'!$C$41/(POWER(1+'A Fasadåtgärd'!$C$10,A40))</f>
        <v>280.03161022020788</v>
      </c>
      <c r="F40" s="16">
        <f>IF('A Fasadåtgärd'!$C$8+1&gt;A40,E40,0)</f>
        <v>0</v>
      </c>
      <c r="G40" s="109"/>
      <c r="W40" s="16"/>
      <c r="X40" s="16"/>
    </row>
    <row r="41" spans="1:24" x14ac:dyDescent="0.25">
      <c r="A41">
        <v>38</v>
      </c>
      <c r="B41" s="16">
        <f>((('A Fasadåtgärd'!$C$51*(1/(1+'A Fasadåtgärd'!$C$10)^A41))))*(('A Fasadåtgärd'!$C$12+1)^NuvFasad!A41)</f>
        <v>6858.0906579937073</v>
      </c>
      <c r="C41" s="16">
        <f>IF('A Fasadåtgärd'!$C$8+1&gt;A41,B41,0)</f>
        <v>0</v>
      </c>
      <c r="D41" s="16"/>
      <c r="E41" s="16">
        <f>'A Fasadåtgärd'!$C$41/(POWER(1+'A Fasadåtgärd'!$C$10,A41))</f>
        <v>270.56194224174675</v>
      </c>
      <c r="F41" s="16">
        <f>IF('A Fasadåtgärd'!$C$8+1&gt;A41,E41,0)</f>
        <v>0</v>
      </c>
      <c r="G41" s="109"/>
      <c r="W41" s="16"/>
      <c r="X41" s="16"/>
    </row>
    <row r="42" spans="1:24" x14ac:dyDescent="0.25">
      <c r="A42">
        <v>39</v>
      </c>
      <c r="B42" s="16">
        <f>((('A Fasadåtgärd'!$C$51*(1/(1+'A Fasadåtgärd'!$C$10)^A42))))*(('A Fasadåtgärd'!$C$12+1)^NuvFasad!A42)</f>
        <v>6702.3755560972331</v>
      </c>
      <c r="C42" s="16">
        <f>IF('A Fasadåtgärd'!$C$8+1&gt;A42,B42,0)</f>
        <v>0</v>
      </c>
      <c r="D42" s="16"/>
      <c r="E42" s="16">
        <f>'A Fasadåtgärd'!$C$41/(POWER(1+'A Fasadåtgärd'!$C$10,A42))</f>
        <v>261.41250458139785</v>
      </c>
      <c r="F42" s="16">
        <f>IF('A Fasadåtgärd'!$C$8+1&gt;A42,E42,0)</f>
        <v>0</v>
      </c>
      <c r="G42" s="109"/>
      <c r="W42" s="16"/>
      <c r="X42" s="16"/>
    </row>
    <row r="43" spans="1:24" x14ac:dyDescent="0.25">
      <c r="A43">
        <v>40</v>
      </c>
      <c r="B43" s="16">
        <f>((('A Fasadåtgärd'!$C$51*(1/(1+'A Fasadåtgärd'!$C$10)^A43))))*(('A Fasadåtgärd'!$C$12+1)^NuvFasad!A43)</f>
        <v>6550.1960144853656</v>
      </c>
      <c r="C43" s="16">
        <f>IF('A Fasadåtgärd'!$C$8+1&gt;A43,B43,0)</f>
        <v>0</v>
      </c>
      <c r="D43" s="16"/>
      <c r="E43" s="16">
        <f>'A Fasadåtgärd'!$C$41/(POWER(1+'A Fasadåtgärd'!$C$10,A43))</f>
        <v>252.57246819458734</v>
      </c>
      <c r="F43" s="16">
        <f>IF('A Fasadåtgärd'!$C$8+1&gt;A43,E43,0)</f>
        <v>0</v>
      </c>
      <c r="G43" s="109"/>
      <c r="W43" s="16"/>
      <c r="X43" s="16"/>
    </row>
    <row r="44" spans="1:24" x14ac:dyDescent="0.25">
      <c r="A44">
        <v>41</v>
      </c>
      <c r="B44" s="16">
        <f>((('A Fasadåtgärd'!$C$51*(1/(1+'A Fasadåtgärd'!$C$10)^A44))))*(('A Fasadåtgärd'!$C$12+1)^40)</f>
        <v>6328.6918014351377</v>
      </c>
      <c r="C44" s="16">
        <f>IF('A Fasadåtgärd'!$C$8+1&gt;A44,B44,0)</f>
        <v>0</v>
      </c>
      <c r="D44" s="16"/>
      <c r="E44" s="16">
        <f>'A Fasadåtgärd'!$C$41/(POWER(1+'A Fasadåtgärd'!$C$10,A44))</f>
        <v>244.03137023631632</v>
      </c>
      <c r="F44" s="16">
        <f>IF('A Fasadåtgärd'!$C$8+1&gt;A44,E44,0)</f>
        <v>0</v>
      </c>
      <c r="G44" s="109"/>
      <c r="W44" s="16"/>
      <c r="X44" s="16"/>
    </row>
    <row r="45" spans="1:24" x14ac:dyDescent="0.25">
      <c r="A45">
        <v>42</v>
      </c>
      <c r="B45" s="16">
        <f>((('A Fasadåtgärd'!$C$51*(1/(1+'A Fasadåtgärd'!$C$10)^A45))))*(('A Fasadåtgärd'!$C$12+1)^40)</f>
        <v>6114.6780690194564</v>
      </c>
      <c r="C45" s="16">
        <f>IF('A Fasadåtgärd'!$C$8+1&gt;A45,B45,0)</f>
        <v>0</v>
      </c>
      <c r="D45" s="16"/>
      <c r="E45" s="16">
        <f>'A Fasadåtgärd'!$C$41/(POWER(1+'A Fasadåtgärd'!$C$10,A45))</f>
        <v>235.77910167760029</v>
      </c>
      <c r="F45" s="16">
        <f>IF('A Fasadåtgärd'!$C$8+1&gt;A45,E45,0)</f>
        <v>0</v>
      </c>
      <c r="G45" s="109"/>
      <c r="W45" s="16"/>
      <c r="X45" s="16"/>
    </row>
    <row r="46" spans="1:24" x14ac:dyDescent="0.25">
      <c r="A46">
        <v>43</v>
      </c>
      <c r="B46" s="16">
        <f>((('A Fasadåtgärd'!$C$51*(1/(1+'A Fasadåtgärd'!$C$10)^A46))))*(('A Fasadåtgärd'!$C$12+1)^40)</f>
        <v>5907.9015159608261</v>
      </c>
      <c r="C46" s="16">
        <f>IF('A Fasadåtgärd'!$C$8+1&gt;A46,B46,0)</f>
        <v>0</v>
      </c>
      <c r="D46" s="16"/>
      <c r="E46" s="16">
        <f>'A Fasadåtgärd'!$C$41/(POWER(1+'A Fasadåtgärd'!$C$10,A46))</f>
        <v>227.80589534067661</v>
      </c>
      <c r="F46" s="16">
        <f>IF('A Fasadåtgärd'!$C$8+1&gt;A46,E46,0)</f>
        <v>0</v>
      </c>
      <c r="G46" s="109"/>
      <c r="W46" s="16"/>
      <c r="X46" s="16"/>
    </row>
    <row r="47" spans="1:24" x14ac:dyDescent="0.25">
      <c r="A47">
        <v>44</v>
      </c>
      <c r="B47" s="16">
        <f>((('A Fasadåtgärd'!$C$51*(1/(1+'A Fasadåtgärd'!$C$10)^A47))))*(('A Fasadåtgärd'!$C$12+1)^40)</f>
        <v>5708.1174067254378</v>
      </c>
      <c r="C47" s="16">
        <f>IF('A Fasadåtgärd'!$C$8+1&gt;A47,B47,0)</f>
        <v>0</v>
      </c>
      <c r="D47" s="16"/>
      <c r="E47" s="16">
        <f>'A Fasadåtgärd'!$C$41/(POWER(1+'A Fasadåtgärd'!$C$10,A47))</f>
        <v>220.10231433881802</v>
      </c>
      <c r="F47" s="16">
        <f>IF('A Fasadåtgärd'!$C$8+1&gt;A47,E47,0)</f>
        <v>0</v>
      </c>
      <c r="G47" s="109"/>
      <c r="W47" s="16"/>
      <c r="X47" s="16"/>
    </row>
    <row r="48" spans="1:24" x14ac:dyDescent="0.25">
      <c r="A48">
        <v>45</v>
      </c>
      <c r="B48" s="16">
        <f>((('A Fasadåtgärd'!$C$51*(1/(1+'A Fasadåtgärd'!$C$10)^A48))))*(('A Fasadåtgärd'!$C$12+1)^40)</f>
        <v>5515.089281860327</v>
      </c>
      <c r="C48" s="16">
        <f>IF('A Fasadåtgärd'!$C$8+1&gt;A48,B48,0)</f>
        <v>0</v>
      </c>
      <c r="D48" s="16"/>
      <c r="E48" s="16">
        <f>'A Fasadåtgärd'!$C$41/(POWER(1+'A Fasadåtgärd'!$C$10,A48))</f>
        <v>212.65924090707057</v>
      </c>
      <c r="F48" s="16">
        <f>IF('A Fasadåtgärd'!$C$8+1&gt;A48,E48,0)</f>
        <v>0</v>
      </c>
      <c r="G48" s="109"/>
      <c r="W48" s="16"/>
      <c r="X48" s="16"/>
    </row>
    <row r="49" spans="1:24" x14ac:dyDescent="0.25">
      <c r="A49">
        <v>46</v>
      </c>
      <c r="B49" s="16">
        <f>((('A Fasadåtgärd'!$C$51*(1/(1+'A Fasadåtgärd'!$C$10)^A49))))*(('A Fasadåtgärd'!$C$12+1)^40)</f>
        <v>5328.5886781259196</v>
      </c>
      <c r="C49" s="16">
        <f>IF('A Fasadåtgärd'!$C$8+1&gt;A49,B49,0)</f>
        <v>0</v>
      </c>
      <c r="D49" s="16"/>
      <c r="E49" s="16">
        <f>'A Fasadåtgärd'!$C$41/(POWER(1+'A Fasadåtgärd'!$C$10,A49))</f>
        <v>205.46786561069618</v>
      </c>
      <c r="F49" s="16">
        <f>IF('A Fasadåtgärd'!$C$8+1&gt;A49,E49,0)</f>
        <v>0</v>
      </c>
      <c r="G49" s="109"/>
      <c r="W49" s="16"/>
      <c r="X49" s="16"/>
    </row>
    <row r="50" spans="1:24" x14ac:dyDescent="0.25">
      <c r="A50">
        <v>47</v>
      </c>
      <c r="B50" s="16">
        <f>((('A Fasadåtgärd'!$C$51*(1/(1+'A Fasadåtgärd'!$C$10)^A50))))*(('A Fasadåtgärd'!$C$12+1)^40)</f>
        <v>5148.3948580926763</v>
      </c>
      <c r="C50" s="16">
        <f>IF('A Fasadåtgärd'!$C$8+1&gt;A50,B50,0)</f>
        <v>0</v>
      </c>
      <c r="D50" s="16"/>
      <c r="E50" s="16">
        <f>'A Fasadåtgärd'!$C$41/(POWER(1+'A Fasadåtgärd'!$C$10,A50))</f>
        <v>198.51967691854708</v>
      </c>
      <c r="F50" s="16">
        <f>IF('A Fasadåtgärd'!$C$8+1&gt;A50,E50,0)</f>
        <v>0</v>
      </c>
      <c r="G50" s="109"/>
      <c r="W50" s="16"/>
      <c r="X50" s="16"/>
    </row>
    <row r="51" spans="1:24" x14ac:dyDescent="0.25">
      <c r="A51">
        <v>48</v>
      </c>
      <c r="B51" s="16">
        <f>((('A Fasadåtgärd'!$C$51*(1/(1+'A Fasadåtgärd'!$C$10)^A51))))*(('A Fasadåtgärd'!$C$12+1)^40)</f>
        <v>4974.2945488818141</v>
      </c>
      <c r="C51" s="16">
        <f>IF('A Fasadåtgärd'!$C$8+1&gt;A51,B51,0)</f>
        <v>0</v>
      </c>
      <c r="D51" s="16"/>
      <c r="E51" s="16">
        <f>'A Fasadåtgärd'!$C$41/(POWER(1+'A Fasadåtgärd'!$C$10,A51))</f>
        <v>191.80645112903102</v>
      </c>
      <c r="F51" s="16">
        <f>IF('A Fasadåtgärd'!$C$8+1&gt;A51,E51,0)</f>
        <v>0</v>
      </c>
      <c r="G51" s="109"/>
      <c r="W51" s="16"/>
      <c r="X51" s="16"/>
    </row>
    <row r="52" spans="1:24" x14ac:dyDescent="0.25">
      <c r="A52">
        <v>49</v>
      </c>
      <c r="B52" s="16">
        <f>((('A Fasadåtgärd'!$C$51*(1/(1+'A Fasadåtgärd'!$C$10)^A52))))*(('A Fasadåtgärd'!$C$12+1)^40)</f>
        <v>4806.081689740884</v>
      </c>
      <c r="C52" s="16">
        <f>IF('A Fasadåtgärd'!$C$8+1&gt;A52,B52,0)</f>
        <v>0</v>
      </c>
      <c r="D52" s="16"/>
      <c r="E52" s="16">
        <f>'A Fasadåtgärd'!$C$41/(POWER(1+'A Fasadåtgärd'!$C$10,A52))</f>
        <v>185.32024263674498</v>
      </c>
      <c r="F52" s="16">
        <f>IF('A Fasadåtgärd'!$C$8+1&gt;A52,E52,0)</f>
        <v>0</v>
      </c>
      <c r="G52" s="109"/>
      <c r="W52" s="16"/>
      <c r="X52" s="16"/>
    </row>
    <row r="53" spans="1:24" x14ac:dyDescent="0.25">
      <c r="A53">
        <v>50</v>
      </c>
      <c r="B53" s="16">
        <f>((('A Fasadåtgärd'!$C$51*(1/(1+'A Fasadåtgärd'!$C$10)^A53))))*(('A Fasadåtgärd'!$C$12+1)^40)</f>
        <v>4643.5571881554424</v>
      </c>
      <c r="C53" s="16">
        <f>IF('A Fasadåtgärd'!$C$8+1&gt;A53,B53,0)</f>
        <v>0</v>
      </c>
      <c r="D53" s="16"/>
      <c r="E53" s="16">
        <f>'A Fasadåtgärd'!$C$41/(POWER(1+'A Fasadåtgärd'!$C$10,A53))</f>
        <v>179.05337452825603</v>
      </c>
      <c r="F53" s="16">
        <f>IF('A Fasadåtgärd'!$C$8+1&gt;A53,E53,0)</f>
        <v>0</v>
      </c>
      <c r="G53" s="109"/>
      <c r="W53" s="16"/>
      <c r="X53" s="16"/>
    </row>
    <row r="54" spans="1:24" x14ac:dyDescent="0.25">
      <c r="A54">
        <v>51</v>
      </c>
      <c r="B54" s="16">
        <f>((('A Fasadåtgärd'!$C$51*(1/(1+'A Fasadåtgärd'!$C$10)^A54))))*(('A Fasadåtgärd'!$C$12+1)^40)</f>
        <v>4486.5286842081578</v>
      </c>
      <c r="C54" s="16">
        <f>IF('A Fasadåtgärd'!$C$8+1&gt;A54,B54,0)</f>
        <v>0</v>
      </c>
      <c r="D54" s="16"/>
      <c r="E54" s="16">
        <f>'A Fasadåtgärd'!$C$41/(POWER(1+'A Fasadåtgärd'!$C$10,A54))</f>
        <v>172.99842949589956</v>
      </c>
      <c r="F54" s="16">
        <f>IF('A Fasadåtgärd'!$C$8+1&gt;A54,E54,0)</f>
        <v>0</v>
      </c>
      <c r="G54" s="109"/>
      <c r="W54" s="16"/>
      <c r="X54" s="16"/>
    </row>
    <row r="55" spans="1:24" x14ac:dyDescent="0.25">
      <c r="A55">
        <v>52</v>
      </c>
      <c r="B55" s="16">
        <f>((('A Fasadåtgärd'!$C$51*(1/(1+'A Fasadåtgärd'!$C$10)^A55))))*(('A Fasadåtgärd'!$C$12+1)^40)</f>
        <v>4334.8103229064336</v>
      </c>
      <c r="C55" s="16">
        <f>IF('A Fasadåtgärd'!$C$8+1&gt;A55,B55,0)</f>
        <v>0</v>
      </c>
      <c r="D55" s="16"/>
      <c r="E55" s="16">
        <f>'A Fasadåtgärd'!$C$41/(POWER(1+'A Fasadåtgärd'!$C$10,A55))</f>
        <v>167.14824105884017</v>
      </c>
      <c r="F55" s="16">
        <f>IF('A Fasadåtgärd'!$C$8+1&gt;A55,E55,0)</f>
        <v>0</v>
      </c>
      <c r="G55" s="109"/>
      <c r="W55" s="16"/>
      <c r="X55" s="16"/>
    </row>
    <row r="56" spans="1:24" x14ac:dyDescent="0.25">
      <c r="A56">
        <v>53</v>
      </c>
      <c r="B56" s="16">
        <f>((('A Fasadåtgärd'!$C$51*(1/(1+'A Fasadåtgärd'!$C$10)^A56))))*(('A Fasadåtgärd'!$C$12+1)^40)</f>
        <v>4188.2225342091151</v>
      </c>
      <c r="C56" s="16">
        <f>IF('A Fasadåtgärd'!$C$8+1&gt;A56,B56,0)</f>
        <v>0</v>
      </c>
      <c r="D56" s="16"/>
      <c r="E56" s="16">
        <f>'A Fasadåtgärd'!$C$41/(POWER(1+'A Fasadåtgärd'!$C$10,A56))</f>
        <v>161.49588508100501</v>
      </c>
      <c r="F56" s="16">
        <f>IF('A Fasadåtgärd'!$C$8+1&gt;A56,E56,0)</f>
        <v>0</v>
      </c>
      <c r="G56" s="109"/>
      <c r="W56" s="16"/>
      <c r="X56" s="16"/>
    </row>
    <row r="57" spans="1:24" x14ac:dyDescent="0.25">
      <c r="A57">
        <v>54</v>
      </c>
      <c r="B57" s="16">
        <f>((('A Fasadåtgärd'!$C$51*(1/(1+'A Fasadåtgärd'!$C$10)^A57))))*(('A Fasadåtgärd'!$C$12+1)^40)</f>
        <v>4046.5918204918985</v>
      </c>
      <c r="C57" s="16">
        <f>IF('A Fasadåtgärd'!$C$8+1&gt;A57,B57,0)</f>
        <v>0</v>
      </c>
      <c r="D57" s="16"/>
      <c r="E57" s="16">
        <f>'A Fasadåtgärd'!$C$41/(POWER(1+'A Fasadåtgärd'!$C$10,A57))</f>
        <v>156.03467157585027</v>
      </c>
      <c r="F57" s="16">
        <f>IF('A Fasadåtgärd'!$C$8+1&gt;A57,E57,0)</f>
        <v>0</v>
      </c>
      <c r="G57" s="109"/>
      <c r="W57" s="16"/>
      <c r="X57" s="16"/>
    </row>
    <row r="58" spans="1:24" x14ac:dyDescent="0.25">
      <c r="A58">
        <v>55</v>
      </c>
      <c r="B58" s="16">
        <f>((('A Fasadåtgärd'!$C$51*(1/(1+'A Fasadåtgärd'!$C$10)^A58))))*(('A Fasadåtgärd'!$C$12+1)^40)</f>
        <v>3909.750551199902</v>
      </c>
      <c r="C58" s="16">
        <f>IF('A Fasadåtgärd'!$C$8+1&gt;A58,B58,0)</f>
        <v>0</v>
      </c>
      <c r="D58" s="16"/>
      <c r="E58" s="16">
        <f>'A Fasadåtgärd'!$C$41/(POWER(1+'A Fasadåtgärd'!$C$10,A58))</f>
        <v>150.75813678826111</v>
      </c>
      <c r="F58" s="16">
        <f>IF('A Fasadåtgärd'!$C$8+1&gt;A58,E58,0)</f>
        <v>0</v>
      </c>
      <c r="G58" s="109"/>
      <c r="W58" s="16"/>
      <c r="X58" s="16"/>
    </row>
    <row r="59" spans="1:24" x14ac:dyDescent="0.25">
      <c r="A59">
        <v>56</v>
      </c>
      <c r="B59" s="16">
        <f>((('A Fasadåtgärd'!$C$51*(1/(1+'A Fasadåtgärd'!$C$10)^A59))))*(('A Fasadåtgärd'!$C$12+1)^40)</f>
        <v>3777.5367644443509</v>
      </c>
      <c r="C59" s="16">
        <f>IF('A Fasadåtgärd'!$C$8+1&gt;A59,B59,0)</f>
        <v>0</v>
      </c>
      <c r="D59" s="16"/>
      <c r="E59" s="16">
        <f>'A Fasadåtgärd'!$C$41/(POWER(1+'A Fasadåtgärd'!$C$10,A59))</f>
        <v>145.66003554421368</v>
      </c>
      <c r="F59" s="16">
        <f>IF('A Fasadåtgärd'!$C$8+1&gt;A59,E59,0)</f>
        <v>0</v>
      </c>
      <c r="G59" s="109"/>
      <c r="W59" s="16"/>
      <c r="X59" s="16"/>
    </row>
    <row r="60" spans="1:24" x14ac:dyDescent="0.25">
      <c r="A60">
        <v>57</v>
      </c>
      <c r="B60" s="16">
        <f>((('A Fasadåtgärd'!$C$51*(1/(1+'A Fasadåtgärd'!$C$10)^A60))))*(('A Fasadåtgärd'!$C$12+1)^40)</f>
        <v>3649.793975308552</v>
      </c>
      <c r="C60" s="16">
        <f>IF('A Fasadåtgärd'!$C$8+1&gt;A60,B60,0)</f>
        <v>0</v>
      </c>
      <c r="D60" s="16"/>
      <c r="E60" s="16">
        <f>'A Fasadåtgärd'!$C$41/(POWER(1+'A Fasadåtgärd'!$C$10,A60))</f>
        <v>140.73433385914367</v>
      </c>
      <c r="F60" s="16">
        <f>IF('A Fasadåtgärd'!$C$8+1&gt;A60,E60,0)</f>
        <v>0</v>
      </c>
      <c r="G60" s="109"/>
      <c r="W60" s="16"/>
      <c r="X60" s="16"/>
    </row>
    <row r="61" spans="1:24" x14ac:dyDescent="0.25">
      <c r="A61">
        <v>58</v>
      </c>
      <c r="B61" s="16">
        <f>((('A Fasadåtgärd'!$C$51*(1/(1+'A Fasadåtgärd'!$C$10)^A61))))*(('A Fasadåtgärd'!$C$12+1)^40)</f>
        <v>3526.3709906362819</v>
      </c>
      <c r="C61" s="16">
        <f>IF('A Fasadåtgärd'!$C$8+1&gt;A61,B61,0)</f>
        <v>0</v>
      </c>
      <c r="D61" s="16"/>
      <c r="E61" s="16">
        <f>'A Fasadåtgärd'!$C$41/(POWER(1+'A Fasadåtgärd'!$C$10,A61))</f>
        <v>135.97520179627406</v>
      </c>
      <c r="F61" s="16">
        <f>IF('A Fasadåtgärd'!$C$8+1&gt;A61,E61,0)</f>
        <v>0</v>
      </c>
      <c r="G61" s="109"/>
      <c r="W61" s="16"/>
      <c r="X61" s="16"/>
    </row>
    <row r="62" spans="1:24" x14ac:dyDescent="0.25">
      <c r="A62">
        <v>59</v>
      </c>
      <c r="B62" s="16">
        <f>((('A Fasadåtgärd'!$C$51*(1/(1+'A Fasadåtgärd'!$C$10)^A62))))*(('A Fasadåtgärd'!$C$12+1)^40)</f>
        <v>3407.1217300833632</v>
      </c>
      <c r="C62" s="16">
        <f>IF('A Fasadåtgärd'!$C$8+1&gt;A62,B62,0)</f>
        <v>0</v>
      </c>
      <c r="D62" s="16"/>
      <c r="E62" s="16">
        <f>'A Fasadåtgärd'!$C$41/(POWER(1+'A Fasadåtgärd'!$C$10,A62))</f>
        <v>131.37700656644836</v>
      </c>
      <c r="F62" s="16">
        <f>IF('A Fasadåtgärd'!$C$8+1&gt;A62,E62,0)</f>
        <v>0</v>
      </c>
      <c r="G62" s="109"/>
      <c r="W62" s="16"/>
      <c r="X62" s="16"/>
    </row>
    <row r="63" spans="1:24" x14ac:dyDescent="0.25">
      <c r="A63">
        <v>60</v>
      </c>
      <c r="B63" s="16">
        <f>((('A Fasadåtgärd'!$C$51*(1/(1+'A Fasadåtgärd'!$C$10)^A63))))*(('A Fasadåtgärd'!$C$12+1)^40)</f>
        <v>3291.905053220642</v>
      </c>
      <c r="C63" s="16">
        <f>IF('A Fasadåtgärd'!$C$8+1&gt;A63,B63,0)</f>
        <v>0</v>
      </c>
      <c r="D63" s="16"/>
      <c r="E63" s="16">
        <f>'A Fasadåtgärd'!$C$41/(POWER(1+'A Fasadåtgärd'!$C$10,A63))</f>
        <v>126.93430586130278</v>
      </c>
      <c r="F63" s="16">
        <f>IF('A Fasadåtgärd'!$C$8+1&gt;A63,E63,0)</f>
        <v>0</v>
      </c>
      <c r="G63" s="109"/>
      <c r="W63" s="16"/>
      <c r="X63" s="16"/>
    </row>
    <row r="64" spans="1:24" x14ac:dyDescent="0.25">
      <c r="B64" s="16"/>
      <c r="C64" s="16">
        <f>SUM(C3:C63)</f>
        <v>260215.26597579542</v>
      </c>
      <c r="D64" s="16"/>
      <c r="E64" s="16">
        <f>SUM(E3:E63)</f>
        <v>24944.73411824854</v>
      </c>
      <c r="F64" s="16">
        <f>SUM(F3:F63)</f>
        <v>14212.403301952299</v>
      </c>
      <c r="G64" s="109"/>
      <c r="W64" s="16"/>
      <c r="X64" s="16"/>
    </row>
    <row r="65" spans="1:24" x14ac:dyDescent="0.25">
      <c r="C65" s="16"/>
      <c r="D65" s="16"/>
      <c r="E65" s="16"/>
      <c r="F65" s="16"/>
      <c r="G65" s="109"/>
      <c r="W65" s="16"/>
      <c r="X65" s="16"/>
    </row>
    <row r="66" spans="1:24" x14ac:dyDescent="0.25">
      <c r="B66" s="16"/>
      <c r="C66" s="16"/>
      <c r="E66" s="16"/>
      <c r="F66" s="16"/>
      <c r="G66" s="109"/>
      <c r="W66" s="16"/>
      <c r="X66" s="16"/>
    </row>
    <row r="67" spans="1:24" x14ac:dyDescent="0.25">
      <c r="B67" s="16"/>
      <c r="C67" s="16"/>
      <c r="E67" s="16"/>
      <c r="F67" s="16"/>
      <c r="G67" s="109"/>
      <c r="W67" s="16"/>
      <c r="X67" s="16"/>
    </row>
    <row r="68" spans="1:24" x14ac:dyDescent="0.25">
      <c r="B68" s="16"/>
      <c r="C68" s="16"/>
      <c r="E68" s="16"/>
      <c r="F68" s="16"/>
      <c r="G68" s="109"/>
      <c r="W68" s="16"/>
      <c r="X68" s="16"/>
    </row>
    <row r="69" spans="1:24" x14ac:dyDescent="0.25">
      <c r="B69" s="16"/>
      <c r="C69" s="16"/>
      <c r="E69" s="16"/>
      <c r="F69" s="16"/>
      <c r="G69" s="109"/>
      <c r="W69" s="16"/>
      <c r="X69" s="16"/>
    </row>
    <row r="70" spans="1:24" ht="15.5" x14ac:dyDescent="0.25">
      <c r="A70" s="23"/>
      <c r="B70" s="23"/>
      <c r="C70" s="16"/>
      <c r="E70" s="16"/>
      <c r="F70" s="16"/>
      <c r="G70" s="109"/>
      <c r="W70" s="16"/>
      <c r="X70" s="16"/>
    </row>
    <row r="71" spans="1:24" ht="15.5" x14ac:dyDescent="0.25">
      <c r="A71" s="24"/>
      <c r="B71" s="24"/>
      <c r="C71" s="16"/>
      <c r="E71" s="16"/>
      <c r="F71" s="16"/>
      <c r="G71" s="109"/>
      <c r="W71" s="16"/>
      <c r="X71" s="16"/>
    </row>
    <row r="72" spans="1:24" ht="15.5" x14ac:dyDescent="0.25">
      <c r="A72" s="24"/>
      <c r="B72" s="24"/>
      <c r="C72" s="16"/>
      <c r="E72" s="16"/>
      <c r="F72" s="16"/>
      <c r="G72" s="109"/>
      <c r="W72" s="16"/>
      <c r="X72" s="16"/>
    </row>
    <row r="73" spans="1:24" ht="15.5" x14ac:dyDescent="0.25">
      <c r="A73" s="24"/>
      <c r="B73" s="24"/>
      <c r="C73" s="16"/>
      <c r="E73" s="16"/>
      <c r="F73" s="16"/>
      <c r="G73" s="109"/>
      <c r="W73" s="16"/>
      <c r="X73" s="16"/>
    </row>
    <row r="74" spans="1:24" ht="15.5" x14ac:dyDescent="0.25">
      <c r="A74" s="24"/>
      <c r="B74" s="24"/>
      <c r="C74" s="16"/>
      <c r="E74" s="16"/>
      <c r="F74" s="16"/>
      <c r="G74" s="109"/>
      <c r="W74" s="16"/>
      <c r="X74" s="16"/>
    </row>
    <row r="75" spans="1:24" ht="15.5" x14ac:dyDescent="0.25">
      <c r="A75" s="24"/>
      <c r="B75" s="24"/>
      <c r="C75" s="16"/>
      <c r="E75" s="16"/>
      <c r="F75" s="16"/>
      <c r="G75" s="109"/>
      <c r="W75" s="16"/>
      <c r="X75" s="16"/>
    </row>
    <row r="76" spans="1:24" ht="15.5" x14ac:dyDescent="0.25">
      <c r="A76" s="24"/>
      <c r="B76" s="24"/>
      <c r="C76" s="16"/>
      <c r="E76" s="16"/>
      <c r="F76" s="16"/>
      <c r="G76" s="109"/>
      <c r="W76" s="16"/>
      <c r="X76" s="16"/>
    </row>
    <row r="77" spans="1:24" ht="15.5" x14ac:dyDescent="0.25">
      <c r="A77" s="24"/>
      <c r="B77" s="24"/>
      <c r="C77" s="16"/>
      <c r="E77" s="16"/>
      <c r="F77" s="16"/>
      <c r="G77" s="109"/>
      <c r="W77" s="16"/>
      <c r="X77" s="16"/>
    </row>
    <row r="78" spans="1:24" ht="15.5" x14ac:dyDescent="0.25">
      <c r="A78" s="24"/>
      <c r="B78" s="24"/>
      <c r="C78" s="16"/>
      <c r="E78" s="16"/>
      <c r="F78" s="16"/>
      <c r="G78" s="109"/>
      <c r="W78" s="16"/>
      <c r="X78" s="16"/>
    </row>
    <row r="79" spans="1:24" ht="15.5" x14ac:dyDescent="0.25">
      <c r="A79" s="24"/>
      <c r="B79" s="24"/>
      <c r="C79" s="16"/>
      <c r="E79" s="16"/>
      <c r="F79" s="16"/>
      <c r="G79" s="109"/>
      <c r="W79" s="16"/>
      <c r="X79" s="16"/>
    </row>
    <row r="80" spans="1:24" ht="15.5" x14ac:dyDescent="0.25">
      <c r="A80" s="24"/>
      <c r="B80" s="24"/>
      <c r="C80" s="16"/>
      <c r="E80" s="16"/>
      <c r="F80" s="16"/>
      <c r="G80" s="109"/>
      <c r="W80" s="16"/>
      <c r="X80" s="16"/>
    </row>
    <row r="81" spans="1:24" ht="15.5" x14ac:dyDescent="0.25">
      <c r="A81" s="24"/>
      <c r="B81" s="24"/>
      <c r="C81" s="16"/>
      <c r="E81" s="16"/>
      <c r="F81" s="16"/>
      <c r="G81" s="109"/>
      <c r="W81" s="16"/>
      <c r="X81" s="16"/>
    </row>
    <row r="82" spans="1:24" ht="15.5" x14ac:dyDescent="0.25">
      <c r="A82" s="24"/>
      <c r="B82" s="24"/>
      <c r="C82" s="16"/>
      <c r="E82" s="16"/>
      <c r="F82" s="16"/>
      <c r="G82" s="109"/>
      <c r="W82" s="16"/>
      <c r="X82" s="16"/>
    </row>
    <row r="83" spans="1:24" ht="15.5" x14ac:dyDescent="0.25">
      <c r="A83" s="24"/>
      <c r="B83" s="24"/>
      <c r="C83" s="16"/>
      <c r="E83" s="16"/>
      <c r="F83" s="16"/>
      <c r="G83" s="109"/>
      <c r="W83" s="16"/>
      <c r="X83" s="16"/>
    </row>
    <row r="84" spans="1:24" ht="15.5" x14ac:dyDescent="0.25">
      <c r="A84" s="24"/>
      <c r="B84" s="24"/>
      <c r="C84" s="16"/>
      <c r="E84" s="16"/>
      <c r="F84" s="16"/>
      <c r="G84" s="109"/>
      <c r="W84" s="16"/>
      <c r="X84" s="16"/>
    </row>
    <row r="85" spans="1:24" ht="15.5" x14ac:dyDescent="0.25">
      <c r="A85" s="24"/>
      <c r="B85" s="24"/>
      <c r="C85" s="16"/>
      <c r="E85" s="16"/>
      <c r="F85" s="16"/>
      <c r="G85" s="109"/>
      <c r="W85" s="16"/>
      <c r="X85" s="16"/>
    </row>
    <row r="86" spans="1:24" ht="15.5" x14ac:dyDescent="0.25">
      <c r="A86" s="24"/>
      <c r="B86" s="24"/>
      <c r="C86" s="16"/>
      <c r="E86" s="16"/>
      <c r="F86" s="16"/>
      <c r="G86" s="109"/>
      <c r="W86" s="16"/>
      <c r="X86" s="16"/>
    </row>
    <row r="87" spans="1:24" ht="15.5" x14ac:dyDescent="0.25">
      <c r="A87" s="24"/>
      <c r="B87" s="24"/>
      <c r="C87" s="16"/>
      <c r="E87" s="16"/>
      <c r="F87" s="16"/>
      <c r="G87" s="109"/>
      <c r="W87" s="16"/>
      <c r="X87" s="16"/>
    </row>
    <row r="88" spans="1:24" ht="15.5" x14ac:dyDescent="0.25">
      <c r="A88" s="24"/>
      <c r="B88" s="24"/>
      <c r="C88" s="16"/>
      <c r="E88" s="16"/>
      <c r="F88" s="16"/>
      <c r="G88" s="109"/>
      <c r="W88" s="16"/>
      <c r="X88" s="16"/>
    </row>
    <row r="89" spans="1:24" ht="15.5" x14ac:dyDescent="0.25">
      <c r="A89" s="24"/>
      <c r="B89" s="24"/>
      <c r="C89" s="16"/>
      <c r="E89" s="16"/>
      <c r="F89" s="16"/>
      <c r="G89" s="109"/>
      <c r="W89" s="16"/>
      <c r="X89" s="16"/>
    </row>
    <row r="90" spans="1:24" ht="15.5" x14ac:dyDescent="0.25">
      <c r="A90" s="24"/>
      <c r="B90" s="24"/>
      <c r="C90" s="16"/>
    </row>
    <row r="91" spans="1:24" ht="15.5" x14ac:dyDescent="0.25">
      <c r="A91" s="24"/>
      <c r="B91" s="24"/>
      <c r="C91" s="16"/>
    </row>
    <row r="92" spans="1:24" ht="15.5" x14ac:dyDescent="0.25">
      <c r="A92" s="24"/>
      <c r="B92" s="24"/>
      <c r="C92" s="16"/>
    </row>
    <row r="93" spans="1:24" ht="15.5" x14ac:dyDescent="0.25">
      <c r="A93" s="24"/>
      <c r="B93" s="24"/>
      <c r="C93" s="16"/>
    </row>
    <row r="94" spans="1:24" ht="15.5" x14ac:dyDescent="0.25">
      <c r="A94" s="24"/>
      <c r="B94" s="24"/>
      <c r="C94" s="16"/>
    </row>
    <row r="95" spans="1:24" ht="15.5" x14ac:dyDescent="0.25">
      <c r="A95" s="25"/>
      <c r="B95" s="26"/>
      <c r="C95" s="16"/>
    </row>
    <row r="96" spans="1:24" x14ac:dyDescent="0.25">
      <c r="B96" s="16"/>
      <c r="C96" s="16"/>
    </row>
    <row r="97" spans="2:3" x14ac:dyDescent="0.25">
      <c r="B97" s="16"/>
      <c r="C97" s="16"/>
    </row>
    <row r="98" spans="2:3" x14ac:dyDescent="0.25">
      <c r="B98" s="16"/>
      <c r="C98" s="16"/>
    </row>
    <row r="99" spans="2:3" x14ac:dyDescent="0.25">
      <c r="B99" s="16"/>
      <c r="C99" s="16"/>
    </row>
    <row r="100" spans="2:3" x14ac:dyDescent="0.25">
      <c r="B100" s="16"/>
      <c r="C100" s="16"/>
    </row>
    <row r="101" spans="2:3" x14ac:dyDescent="0.25">
      <c r="B101" s="16"/>
      <c r="C101" s="16"/>
    </row>
    <row r="102" spans="2:3" x14ac:dyDescent="0.25">
      <c r="B102" s="16"/>
      <c r="C102" s="16"/>
    </row>
    <row r="103" spans="2:3" x14ac:dyDescent="0.25">
      <c r="B103" s="16"/>
      <c r="C103" s="16"/>
    </row>
    <row r="104" spans="2:3" x14ac:dyDescent="0.25">
      <c r="B104" s="16"/>
      <c r="C104" s="16"/>
    </row>
    <row r="105" spans="2:3" x14ac:dyDescent="0.25">
      <c r="B105" s="16"/>
      <c r="C105" s="16"/>
    </row>
    <row r="106" spans="2:3" x14ac:dyDescent="0.25">
      <c r="C106" s="16"/>
    </row>
  </sheetData>
  <phoneticPr fontId="0" type="noConversion"/>
  <pageMargins left="0.75" right="0.75" top="1" bottom="1" header="0.5" footer="0.5"/>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35"/>
  <sheetViews>
    <sheetView workbookViewId="0">
      <selection activeCell="G14" sqref="G14"/>
    </sheetView>
  </sheetViews>
  <sheetFormatPr defaultRowHeight="12.5" x14ac:dyDescent="0.25"/>
  <cols>
    <col min="1" max="1" width="3" bestFit="1" customWidth="1"/>
    <col min="2" max="2" width="9.7265625" bestFit="1" customWidth="1"/>
    <col min="3" max="5" width="11.7265625" customWidth="1"/>
    <col min="6" max="6" width="16" bestFit="1" customWidth="1"/>
    <col min="7" max="7" width="16.81640625" bestFit="1" customWidth="1"/>
    <col min="8" max="8" width="12.26953125" style="35" bestFit="1" customWidth="1"/>
    <col min="9" max="9" width="15" style="35" bestFit="1" customWidth="1"/>
    <col min="10" max="11" width="13.7265625" customWidth="1"/>
    <col min="13" max="13" width="12.26953125" customWidth="1"/>
    <col min="14" max="14" width="5.1796875" customWidth="1"/>
    <col min="15" max="15" width="3" bestFit="1" customWidth="1"/>
  </cols>
  <sheetData>
    <row r="1" spans="1:26" x14ac:dyDescent="0.25">
      <c r="B1" s="35" t="s">
        <v>148</v>
      </c>
      <c r="C1" s="35" t="s">
        <v>148</v>
      </c>
      <c r="D1" s="35" t="s">
        <v>145</v>
      </c>
      <c r="E1" s="35" t="s">
        <v>145</v>
      </c>
      <c r="F1" s="35" t="s">
        <v>151</v>
      </c>
      <c r="G1" s="35" t="s">
        <v>152</v>
      </c>
      <c r="H1" s="35" t="s">
        <v>56</v>
      </c>
      <c r="I1" s="35" t="s">
        <v>147</v>
      </c>
      <c r="J1" t="s">
        <v>26</v>
      </c>
      <c r="K1" t="s">
        <v>27</v>
      </c>
      <c r="L1" t="s">
        <v>26</v>
      </c>
      <c r="M1" s="35" t="s">
        <v>150</v>
      </c>
    </row>
    <row r="2" spans="1:26" x14ac:dyDescent="0.25">
      <c r="A2" t="s">
        <v>14</v>
      </c>
      <c r="B2" s="35"/>
      <c r="C2" t="s">
        <v>21</v>
      </c>
      <c r="D2" s="35"/>
      <c r="E2" t="s">
        <v>21</v>
      </c>
      <c r="F2" s="35" t="s">
        <v>294</v>
      </c>
      <c r="G2" s="35" t="s">
        <v>294</v>
      </c>
      <c r="H2" s="35" t="s">
        <v>146</v>
      </c>
      <c r="I2" s="35" t="s">
        <v>21</v>
      </c>
      <c r="J2" t="s">
        <v>19</v>
      </c>
      <c r="K2" s="35" t="s">
        <v>22</v>
      </c>
      <c r="L2" s="35" t="s">
        <v>149</v>
      </c>
      <c r="M2" t="s">
        <v>22</v>
      </c>
      <c r="P2" s="35" t="s">
        <v>51</v>
      </c>
      <c r="Q2" s="35" t="s">
        <v>145</v>
      </c>
      <c r="R2" s="35" t="s">
        <v>153</v>
      </c>
      <c r="S2" s="35" t="s">
        <v>154</v>
      </c>
      <c r="T2" s="35" t="s">
        <v>56</v>
      </c>
      <c r="U2" s="35" t="s">
        <v>26</v>
      </c>
    </row>
    <row r="3" spans="1:26" x14ac:dyDescent="0.25">
      <c r="A3">
        <v>0</v>
      </c>
      <c r="B3">
        <v>0</v>
      </c>
      <c r="C3" s="16">
        <f>IF('B Fasad och del av utemiljö'!$C$8+1&gt;A3,B3,0)</f>
        <v>0</v>
      </c>
      <c r="D3" s="16">
        <v>0</v>
      </c>
      <c r="E3" s="16">
        <f>IF('B Fasad och del av utemiljö'!$C$8+1&gt;A3,B3,0)</f>
        <v>0</v>
      </c>
      <c r="F3" s="16">
        <f>'B Fasad och del av utemiljö'!D48</f>
        <v>0</v>
      </c>
      <c r="G3" s="16">
        <f>'B Fasad och del av utemiljö'!D49</f>
        <v>0</v>
      </c>
      <c r="H3" s="78">
        <f>IF('B Fasad och del av utemiljö'!$C$8+1&lt;B3,C3,0)</f>
        <v>0</v>
      </c>
      <c r="I3" s="78"/>
      <c r="J3" s="16"/>
      <c r="K3" s="16"/>
      <c r="L3" s="16"/>
      <c r="M3" s="16"/>
      <c r="N3" s="16"/>
      <c r="O3">
        <v>0</v>
      </c>
      <c r="P3" s="16">
        <f>C3</f>
        <v>0</v>
      </c>
      <c r="Q3" s="16">
        <f>E3</f>
        <v>0</v>
      </c>
      <c r="R3" s="16">
        <f>F3*-1</f>
        <v>0</v>
      </c>
      <c r="S3" s="16">
        <f>G3*-1</f>
        <v>0</v>
      </c>
      <c r="T3" s="78">
        <f>I3</f>
        <v>0</v>
      </c>
      <c r="U3" s="16"/>
      <c r="Y3" s="16"/>
      <c r="Z3" s="16"/>
    </row>
    <row r="4" spans="1:26" x14ac:dyDescent="0.25">
      <c r="A4">
        <v>1</v>
      </c>
      <c r="B4" s="16">
        <f>('B Fasad och del av utemiljö'!$C$56*(1/(1+'B Fasad och del av utemiljö'!$C$11)^A4))*(('B Fasad och del av utemiljö'!$C$13+1)^NuvFasadUtemiljö!A4)</f>
        <v>30936.063271590421</v>
      </c>
      <c r="C4" s="16">
        <f>IF('B Fasad och del av utemiljö'!$C$8+1&gt;A4,B4,0)</f>
        <v>30936.063271590421</v>
      </c>
      <c r="D4" s="16">
        <f>('B Fasad och del av utemiljö'!$C$57*(1/(1+'B Fasad och del av utemiljö'!$C$11)^A4))*((1+'B Fasad och del av utemiljö'!$C$13)^NuvFasadUtemiljö!A4)</f>
        <v>83080.606911571624</v>
      </c>
      <c r="E4" s="16">
        <f>IF('B Fasad och del av utemiljö'!$C$8+1&gt;A4,D4,0)</f>
        <v>83080.606911571624</v>
      </c>
      <c r="F4" s="16"/>
      <c r="G4" s="16"/>
      <c r="H4" s="78">
        <f>IF(A4=('B Fasad och del av utemiljö'!$C$8+1),('B Fasad och del av utemiljö'!$C$49/'B Fasad och del av utemiljö'!$C$10)*('B Fasad och del av utemiljö'!$C$10-'B Fasad och del av utemiljö'!$C$8),0)</f>
        <v>0</v>
      </c>
      <c r="I4" s="78">
        <f>H4*(1/(1+'B Fasad och del av utemiljö'!$C$11)^A4)</f>
        <v>0</v>
      </c>
      <c r="J4" s="16">
        <f>'B Fasad och del av utemiljö'!$C$43/(POWER(1+'B Fasad och del av utemiljö'!$C$11,A4))</f>
        <v>0</v>
      </c>
      <c r="K4" s="16">
        <f>IF('B Fasad och del av utemiljö'!$C$8+1&gt;A4,J4,0)</f>
        <v>0</v>
      </c>
      <c r="L4" s="16">
        <f>'B Fasad och del av utemiljö'!$C$44/(POWER(1+'B Fasad och del av utemiljö'!$C$11,A4))</f>
        <v>0</v>
      </c>
      <c r="M4" s="16">
        <f>IF('B Fasad och del av utemiljö'!$C$8+1&gt;A4,L4,0)</f>
        <v>0</v>
      </c>
      <c r="N4" s="16"/>
      <c r="O4">
        <v>1</v>
      </c>
      <c r="P4" s="16">
        <f t="shared" ref="P4:P33" si="0">C4</f>
        <v>30936.063271590421</v>
      </c>
      <c r="Q4" s="16">
        <f t="shared" ref="Q4:Q33" si="1">E4</f>
        <v>83080.606911571624</v>
      </c>
      <c r="R4" s="16"/>
      <c r="S4" s="16"/>
      <c r="T4" s="78">
        <f t="shared" ref="T4:T33" si="2">I4</f>
        <v>0</v>
      </c>
      <c r="U4" s="16">
        <f>(K4+M4)*-1</f>
        <v>0</v>
      </c>
      <c r="Y4" s="16"/>
      <c r="Z4" s="16"/>
    </row>
    <row r="5" spans="1:26" x14ac:dyDescent="0.25">
      <c r="A5">
        <v>2</v>
      </c>
      <c r="B5" s="16">
        <f>('B Fasad och del av utemiljö'!$C$56*(1/(1+'B Fasad och del av utemiljö'!$C$11)^A5))*(('B Fasad och del av utemiljö'!$C$13+1)^NuvFasadUtemiljö!A5)</f>
        <v>30233.650240786199</v>
      </c>
      <c r="C5" s="16">
        <f>IF('B Fasad och del av utemiljö'!$C$8+1&gt;A5,B5,0)</f>
        <v>30233.650240786199</v>
      </c>
      <c r="D5" s="16">
        <f>('B Fasad och del av utemiljö'!$C$57*(1/(1+'B Fasad och del av utemiljö'!$C$11)^A5))*((1+'B Fasad och del av utemiljö'!$C$13)^NuvFasadUtemiljö!A5)</f>
        <v>81194.235643531123</v>
      </c>
      <c r="E5" s="16">
        <f>IF('B Fasad och del av utemiljö'!$C$8+1&gt;A5,D5,0)</f>
        <v>81194.235643531123</v>
      </c>
      <c r="F5" s="16"/>
      <c r="G5" s="16"/>
      <c r="H5" s="78">
        <f>IF(A5=('B Fasad och del av utemiljö'!$C$8+1),('B Fasad och del av utemiljö'!$C$49/'B Fasad och del av utemiljö'!$C$10)*('B Fasad och del av utemiljö'!$C$10-'B Fasad och del av utemiljö'!$C$8),0)</f>
        <v>0</v>
      </c>
      <c r="I5" s="78">
        <f>H5*(1/(1+'B Fasad och del av utemiljö'!$C$11)^A5)</f>
        <v>0</v>
      </c>
      <c r="J5" s="16">
        <f>'B Fasad och del av utemiljö'!$C$43/(POWER(1+'B Fasad och del av utemiljö'!$C$11,A5))</f>
        <v>0</v>
      </c>
      <c r="K5" s="16">
        <f>IF('B Fasad och del av utemiljö'!$C$8+1&gt;A5,J5,0)</f>
        <v>0</v>
      </c>
      <c r="L5" s="16">
        <f>'B Fasad och del av utemiljö'!$C$44/(POWER(1+'B Fasad och del av utemiljö'!$C$11,A5))</f>
        <v>0</v>
      </c>
      <c r="M5" s="16">
        <f>IF('B Fasad och del av utemiljö'!$C$8+1&gt;A5,L5,0)</f>
        <v>0</v>
      </c>
      <c r="N5" s="16"/>
      <c r="O5">
        <v>2</v>
      </c>
      <c r="P5" s="16">
        <f t="shared" si="0"/>
        <v>30233.650240786199</v>
      </c>
      <c r="Q5" s="16">
        <f t="shared" si="1"/>
        <v>81194.235643531123</v>
      </c>
      <c r="R5" s="16"/>
      <c r="S5" s="16"/>
      <c r="T5" s="78">
        <f t="shared" si="2"/>
        <v>0</v>
      </c>
      <c r="U5" s="16">
        <f t="shared" ref="U5:U33" si="3">(K5+M5)*-1</f>
        <v>0</v>
      </c>
      <c r="Y5" s="16"/>
      <c r="Z5" s="16"/>
    </row>
    <row r="6" spans="1:26" x14ac:dyDescent="0.25">
      <c r="A6">
        <v>3</v>
      </c>
      <c r="B6" s="16">
        <f>('B Fasad och del av utemiljö'!$C$56*(1/(1+'B Fasad och del av utemiljö'!$C$11)^A6))*(('B Fasad och del av utemiljö'!$C$13+1)^NuvFasadUtemiljö!A6)</f>
        <v>29547.18571841087</v>
      </c>
      <c r="C6" s="16">
        <f>IF('B Fasad och del av utemiljö'!$C$8+1&gt;A6,B6,0)</f>
        <v>29547.18571841087</v>
      </c>
      <c r="D6" s="16">
        <f>('B Fasad och del av utemiljö'!$C$57*(1/(1+'B Fasad och del av utemiljö'!$C$11)^A6))*((1+'B Fasad och del av utemiljö'!$C$13)^NuvFasadUtemiljö!A6)</f>
        <v>79350.695027470283</v>
      </c>
      <c r="E6" s="16">
        <f>IF('B Fasad och del av utemiljö'!$C$8+1&gt;A6,D6,0)</f>
        <v>79350.695027470283</v>
      </c>
      <c r="F6" s="16"/>
      <c r="G6" s="16"/>
      <c r="H6" s="78">
        <f>IF(A6=('B Fasad och del av utemiljö'!$C$8+1),('B Fasad och del av utemiljö'!$C$49/'B Fasad och del av utemiljö'!$C$10)*('B Fasad och del av utemiljö'!$C$10-'B Fasad och del av utemiljö'!$C$8),0)</f>
        <v>0</v>
      </c>
      <c r="I6" s="78">
        <f>H6*(1/(1+'B Fasad och del av utemiljö'!$C$11)^A6)</f>
        <v>0</v>
      </c>
      <c r="J6" s="16">
        <f>'B Fasad och del av utemiljö'!$C$43/(POWER(1+'B Fasad och del av utemiljö'!$C$11,A6))</f>
        <v>0</v>
      </c>
      <c r="K6" s="16">
        <f>IF('B Fasad och del av utemiljö'!$C$8+1&gt;A6,J6,0)</f>
        <v>0</v>
      </c>
      <c r="L6" s="16">
        <f>'B Fasad och del av utemiljö'!$C$44/(POWER(1+'B Fasad och del av utemiljö'!$C$11,A6))</f>
        <v>0</v>
      </c>
      <c r="M6" s="16">
        <f>IF('B Fasad och del av utemiljö'!$C$8+1&gt;A6,L6,0)</f>
        <v>0</v>
      </c>
      <c r="N6" s="16"/>
      <c r="O6">
        <v>3</v>
      </c>
      <c r="P6" s="16">
        <f t="shared" si="0"/>
        <v>29547.18571841087</v>
      </c>
      <c r="Q6" s="16">
        <f t="shared" si="1"/>
        <v>79350.695027470283</v>
      </c>
      <c r="R6" s="16"/>
      <c r="S6" s="16"/>
      <c r="T6" s="78">
        <f t="shared" si="2"/>
        <v>0</v>
      </c>
      <c r="U6" s="16">
        <f t="shared" si="3"/>
        <v>0</v>
      </c>
      <c r="Y6" s="16"/>
      <c r="Z6" s="16"/>
    </row>
    <row r="7" spans="1:26" x14ac:dyDescent="0.25">
      <c r="A7">
        <v>4</v>
      </c>
      <c r="B7" s="16">
        <f>('B Fasad och del av utemiljö'!$C$56*(1/(1+'B Fasad och del av utemiljö'!$C$11)^A7))*(('B Fasad och del av utemiljö'!$C$13+1)^NuvFasadUtemiljö!A7)</f>
        <v>28876.307588572559</v>
      </c>
      <c r="C7" s="16">
        <f>IF('B Fasad och del av utemiljö'!$C$8+1&gt;A7,B7,0)</f>
        <v>28876.307588572559</v>
      </c>
      <c r="D7" s="16">
        <f>('B Fasad och del av utemiljö'!$C$57*(1/(1+'B Fasad och del av utemiljö'!$C$11)^A7))*((1+'B Fasad och del av utemiljö'!$C$13)^NuvFasadUtemiljö!A7)</f>
        <v>77549.012579986666</v>
      </c>
      <c r="E7" s="16">
        <f>IF('B Fasad och del av utemiljö'!$C$8+1&gt;A7,D7,0)</f>
        <v>77549.012579986666</v>
      </c>
      <c r="F7" s="16"/>
      <c r="G7" s="16"/>
      <c r="H7" s="78">
        <f>IF(A7=('B Fasad och del av utemiljö'!$C$8+1),('B Fasad och del av utemiljö'!$C$49/'B Fasad och del av utemiljö'!$C$10)*('B Fasad och del av utemiljö'!$C$10-'B Fasad och del av utemiljö'!$C$8),0)</f>
        <v>0</v>
      </c>
      <c r="I7" s="78">
        <f>H7*(1/(1+'B Fasad och del av utemiljö'!$C$11)^A7)</f>
        <v>0</v>
      </c>
      <c r="J7" s="16">
        <f>'B Fasad och del av utemiljö'!$C$43/(POWER(1+'B Fasad och del av utemiljö'!$C$11,A7))</f>
        <v>0</v>
      </c>
      <c r="K7" s="16">
        <f>IF('B Fasad och del av utemiljö'!$C$8+1&gt;A7,J7,0)</f>
        <v>0</v>
      </c>
      <c r="L7" s="16">
        <f>'B Fasad och del av utemiljö'!$C$44/(POWER(1+'B Fasad och del av utemiljö'!$C$11,A7))</f>
        <v>0</v>
      </c>
      <c r="M7" s="16">
        <f>IF('B Fasad och del av utemiljö'!$C$8+1&gt;A7,L7,0)</f>
        <v>0</v>
      </c>
      <c r="N7" s="16"/>
      <c r="O7">
        <v>4</v>
      </c>
      <c r="P7" s="16">
        <f t="shared" si="0"/>
        <v>28876.307588572559</v>
      </c>
      <c r="Q7" s="16">
        <f t="shared" si="1"/>
        <v>77549.012579986666</v>
      </c>
      <c r="R7" s="16"/>
      <c r="S7" s="16"/>
      <c r="T7" s="78">
        <f t="shared" si="2"/>
        <v>0</v>
      </c>
      <c r="U7" s="16">
        <f t="shared" si="3"/>
        <v>0</v>
      </c>
      <c r="Y7" s="16"/>
      <c r="Z7" s="16"/>
    </row>
    <row r="8" spans="1:26" x14ac:dyDescent="0.25">
      <c r="A8">
        <v>5</v>
      </c>
      <c r="B8" s="16">
        <f>('B Fasad och del av utemiljö'!$C$56*(1/(1+'B Fasad och del av utemiljö'!$C$11)^A8))*(('B Fasad och del av utemiljö'!$C$13+1)^NuvFasadUtemiljö!A8)</f>
        <v>28220.66195733444</v>
      </c>
      <c r="C8" s="16">
        <f>IF('B Fasad och del av utemiljö'!$C$8+1&gt;A8,B8,0)</f>
        <v>28220.66195733444</v>
      </c>
      <c r="D8" s="16">
        <f>('B Fasad och del av utemiljö'!$C$57*(1/(1+'B Fasad och del av utemiljö'!$C$11)^A8))*((1+'B Fasad och del av utemiljö'!$C$13)^NuvFasadUtemiljö!A8)</f>
        <v>75788.237898218882</v>
      </c>
      <c r="E8" s="16">
        <f>IF('B Fasad och del av utemiljö'!$C$8+1&gt;A8,D8,0)</f>
        <v>75788.237898218882</v>
      </c>
      <c r="F8" s="16"/>
      <c r="G8" s="16"/>
      <c r="H8" s="78">
        <f>IF(A8=('B Fasad och del av utemiljö'!$C$8+1),('B Fasad och del av utemiljö'!$C$49/'B Fasad och del av utemiljö'!$C$10)*('B Fasad och del av utemiljö'!$C$10-'B Fasad och del av utemiljö'!$C$8),0)</f>
        <v>0</v>
      </c>
      <c r="I8" s="78">
        <f>H8*(1/(1+'B Fasad och del av utemiljö'!$C$11)^A8)</f>
        <v>0</v>
      </c>
      <c r="J8" s="16">
        <f>'B Fasad och del av utemiljö'!$C$43/(POWER(1+'B Fasad och del av utemiljö'!$C$11,A8))</f>
        <v>0</v>
      </c>
      <c r="K8" s="16">
        <f>IF('B Fasad och del av utemiljö'!$C$8+1&gt;A8,J8,0)</f>
        <v>0</v>
      </c>
      <c r="L8" s="16">
        <f>'B Fasad och del av utemiljö'!$C$44/(POWER(1+'B Fasad och del av utemiljö'!$C$11,A8))</f>
        <v>0</v>
      </c>
      <c r="M8" s="16">
        <f>IF('B Fasad och del av utemiljö'!$C$8+1&gt;A8,L8,0)</f>
        <v>0</v>
      </c>
      <c r="N8" s="16"/>
      <c r="O8">
        <v>5</v>
      </c>
      <c r="P8" s="16">
        <f t="shared" si="0"/>
        <v>28220.66195733444</v>
      </c>
      <c r="Q8" s="16">
        <f t="shared" si="1"/>
        <v>75788.237898218882</v>
      </c>
      <c r="R8" s="16"/>
      <c r="S8" s="16"/>
      <c r="T8" s="78">
        <f t="shared" si="2"/>
        <v>0</v>
      </c>
      <c r="U8" s="16">
        <f t="shared" si="3"/>
        <v>0</v>
      </c>
      <c r="Y8" s="16"/>
      <c r="Z8" s="16"/>
    </row>
    <row r="9" spans="1:26" x14ac:dyDescent="0.25">
      <c r="A9">
        <v>6</v>
      </c>
      <c r="B9" s="16">
        <f>('B Fasad och del av utemiljö'!$C$56*(1/(1+'B Fasad och del av utemiljö'!$C$11)^A9))*(('B Fasad och del av utemiljö'!$C$13+1)^NuvFasadUtemiljö!A9)</f>
        <v>27579.902966032645</v>
      </c>
      <c r="C9" s="16">
        <f>IF('B Fasad och del av utemiljö'!$C$8+1&gt;A9,B9,0)</f>
        <v>27579.902966032645</v>
      </c>
      <c r="D9" s="16">
        <f>('B Fasad och del av utemiljö'!$C$57*(1/(1+'B Fasad och del av utemiljö'!$C$11)^A9))*((1+'B Fasad och del av utemiljö'!$C$13)^NuvFasadUtemiljö!A9)</f>
        <v>74067.442158500853</v>
      </c>
      <c r="E9" s="16">
        <f>IF('B Fasad och del av utemiljö'!$C$8+1&gt;A9,D9,0)</f>
        <v>74067.442158500853</v>
      </c>
      <c r="F9" s="16"/>
      <c r="G9" s="16"/>
      <c r="H9" s="78">
        <f>IF(A9=('B Fasad och del av utemiljö'!$C$8+1),('B Fasad och del av utemiljö'!$C$49/'B Fasad och del av utemiljö'!$C$10)*('B Fasad och del av utemiljö'!$C$10-'B Fasad och del av utemiljö'!$C$8),0)</f>
        <v>0</v>
      </c>
      <c r="I9" s="78">
        <f>H9*(1/(1+'B Fasad och del av utemiljö'!$C$11)^A9)</f>
        <v>0</v>
      </c>
      <c r="J9" s="16">
        <f>'B Fasad och del av utemiljö'!$C$43/(POWER(1+'B Fasad och del av utemiljö'!$C$11,A9))</f>
        <v>0</v>
      </c>
      <c r="K9" s="16">
        <f>IF('B Fasad och del av utemiljö'!$C$8+1&gt;A9,J9,0)</f>
        <v>0</v>
      </c>
      <c r="L9" s="16">
        <f>'B Fasad och del av utemiljö'!$C$44/(POWER(1+'B Fasad och del av utemiljö'!$C$11,A9))</f>
        <v>0</v>
      </c>
      <c r="M9" s="16">
        <f>IF('B Fasad och del av utemiljö'!$C$8+1&gt;A9,L9,0)</f>
        <v>0</v>
      </c>
      <c r="N9" s="16"/>
      <c r="O9">
        <v>6</v>
      </c>
      <c r="P9" s="16">
        <f t="shared" si="0"/>
        <v>27579.902966032645</v>
      </c>
      <c r="Q9" s="16">
        <f t="shared" si="1"/>
        <v>74067.442158500853</v>
      </c>
      <c r="R9" s="16"/>
      <c r="S9" s="16"/>
      <c r="T9" s="78">
        <f t="shared" si="2"/>
        <v>0</v>
      </c>
      <c r="U9" s="16">
        <f t="shared" si="3"/>
        <v>0</v>
      </c>
      <c r="Y9" s="16"/>
      <c r="Z9" s="16"/>
    </row>
    <row r="10" spans="1:26" x14ac:dyDescent="0.25">
      <c r="A10">
        <v>7</v>
      </c>
      <c r="B10" s="16">
        <f>('B Fasad och del av utemiljö'!$C$56*(1/(1+'B Fasad och del av utemiljö'!$C$11)^A10))*(('B Fasad och del av utemiljö'!$C$13+1)^NuvFasadUtemiljö!A10)</f>
        <v>26953.692608832873</v>
      </c>
      <c r="C10" s="16">
        <f>IF('B Fasad och del av utemiljö'!$C$8+1&gt;A10,B10,0)</f>
        <v>26953.692608832873</v>
      </c>
      <c r="D10" s="16">
        <f>('B Fasad och del av utemiljö'!$C$57*(1/(1+'B Fasad och del av utemiljö'!$C$11)^A10))*((1+'B Fasad och del av utemiljö'!$C$13)^NuvFasadUtemiljö!A10)</f>
        <v>72385.717626399652</v>
      </c>
      <c r="E10" s="16">
        <f>IF('B Fasad och del av utemiljö'!$C$8+1&gt;A10,D10,0)</f>
        <v>72385.717626399652</v>
      </c>
      <c r="F10" s="16"/>
      <c r="G10" s="16"/>
      <c r="H10" s="78">
        <f>IF(A10=('B Fasad och del av utemiljö'!$C$8+1),('B Fasad och del av utemiljö'!$C$49/'B Fasad och del av utemiljö'!$C$10)*('B Fasad och del av utemiljö'!$C$10-'B Fasad och del av utemiljö'!$C$8),0)</f>
        <v>0</v>
      </c>
      <c r="I10" s="78">
        <f>H10*(1/(1+'B Fasad och del av utemiljö'!$C$11)^A10)</f>
        <v>0</v>
      </c>
      <c r="J10" s="16">
        <f>'B Fasad och del av utemiljö'!$C$43/(POWER(1+'B Fasad och del av utemiljö'!$C$11,A10))</f>
        <v>0</v>
      </c>
      <c r="K10" s="16">
        <f>IF('B Fasad och del av utemiljö'!$C$8+1&gt;A10,J10,0)</f>
        <v>0</v>
      </c>
      <c r="L10" s="16">
        <f>'B Fasad och del av utemiljö'!$C$44/(POWER(1+'B Fasad och del av utemiljö'!$C$11,A10))</f>
        <v>0</v>
      </c>
      <c r="M10" s="16">
        <f>IF('B Fasad och del av utemiljö'!$C$8+1&gt;A10,L10,0)</f>
        <v>0</v>
      </c>
      <c r="N10" s="16"/>
      <c r="O10">
        <v>7</v>
      </c>
      <c r="P10" s="16">
        <f t="shared" si="0"/>
        <v>26953.692608832873</v>
      </c>
      <c r="Q10" s="16">
        <f t="shared" si="1"/>
        <v>72385.717626399652</v>
      </c>
      <c r="R10" s="16"/>
      <c r="S10" s="16"/>
      <c r="T10" s="78">
        <f t="shared" si="2"/>
        <v>0</v>
      </c>
      <c r="U10" s="16">
        <f t="shared" si="3"/>
        <v>0</v>
      </c>
      <c r="Y10" s="16"/>
      <c r="Z10" s="16"/>
    </row>
    <row r="11" spans="1:26" x14ac:dyDescent="0.25">
      <c r="A11">
        <v>8</v>
      </c>
      <c r="B11" s="16">
        <f>('B Fasad och del av utemiljö'!$C$56*(1/(1+'B Fasad och del av utemiljö'!$C$11)^A11))*(('B Fasad och del av utemiljö'!$C$13+1)^NuvFasadUtemiljö!A11)</f>
        <v>26341.70055442943</v>
      </c>
      <c r="C11" s="16">
        <f>IF('B Fasad och del av utemiljö'!$C$8+1&gt;A11,B11,0)</f>
        <v>26341.70055442943</v>
      </c>
      <c r="D11" s="16">
        <f>('B Fasad och del av utemiljö'!$C$57*(1/(1+'B Fasad och del av utemiljö'!$C$11)^A11))*((1+'B Fasad och del av utemiljö'!$C$13)^NuvFasadUtemiljö!A11)</f>
        <v>70742.177177877558</v>
      </c>
      <c r="E11" s="16">
        <f>IF('B Fasad och del av utemiljö'!$C$8+1&gt;A11,D11,0)</f>
        <v>70742.177177877558</v>
      </c>
      <c r="F11" s="16"/>
      <c r="G11" s="16"/>
      <c r="H11" s="78">
        <f>IF(A11=('B Fasad och del av utemiljö'!$C$8+1),('B Fasad och del av utemiljö'!$C$49/'B Fasad och del av utemiljö'!$C$10)*('B Fasad och del av utemiljö'!$C$10-'B Fasad och del av utemiljö'!$C$8),0)</f>
        <v>0</v>
      </c>
      <c r="I11" s="78">
        <f>H11*(1/(1+'B Fasad och del av utemiljö'!$C$11)^A11)</f>
        <v>0</v>
      </c>
      <c r="J11" s="16">
        <f>'B Fasad och del av utemiljö'!$C$43/(POWER(1+'B Fasad och del av utemiljö'!$C$11,A11))</f>
        <v>0</v>
      </c>
      <c r="K11" s="16">
        <f>IF('B Fasad och del av utemiljö'!$C$8+1&gt;A11,J11,0)</f>
        <v>0</v>
      </c>
      <c r="L11" s="16">
        <f>'B Fasad och del av utemiljö'!$C$44/(POWER(1+'B Fasad och del av utemiljö'!$C$11,A11))</f>
        <v>0</v>
      </c>
      <c r="M11" s="16">
        <f>IF('B Fasad och del av utemiljö'!$C$8+1&gt;A11,L11,0)</f>
        <v>0</v>
      </c>
      <c r="N11" s="16"/>
      <c r="O11">
        <v>8</v>
      </c>
      <c r="P11" s="16">
        <f t="shared" si="0"/>
        <v>26341.70055442943</v>
      </c>
      <c r="Q11" s="16">
        <f t="shared" si="1"/>
        <v>70742.177177877558</v>
      </c>
      <c r="R11" s="16"/>
      <c r="S11" s="16"/>
      <c r="T11" s="78">
        <f t="shared" si="2"/>
        <v>0</v>
      </c>
      <c r="U11" s="16">
        <f t="shared" si="3"/>
        <v>0</v>
      </c>
      <c r="Y11" s="16"/>
      <c r="Z11" s="16"/>
    </row>
    <row r="12" spans="1:26" x14ac:dyDescent="0.25">
      <c r="A12">
        <v>9</v>
      </c>
      <c r="B12" s="16">
        <f>('B Fasad och del av utemiljö'!$C$56*(1/(1+'B Fasad och del av utemiljö'!$C$11)^A12))*(('B Fasad och del av utemiljö'!$C$13+1)^NuvFasadUtemiljö!A12)</f>
        <v>25743.603971792636</v>
      </c>
      <c r="C12" s="16">
        <f>IF('B Fasad och del av utemiljö'!$C$8+1&gt;A12,B12,0)</f>
        <v>25743.603971792636</v>
      </c>
      <c r="D12" s="16">
        <f>('B Fasad och del av utemiljö'!$C$57*(1/(1+'B Fasad och del av utemiljö'!$C$11)^A12))*((1+'B Fasad och del av utemiljö'!$C$13)^NuvFasadUtemiljö!A12)</f>
        <v>69135.953831326726</v>
      </c>
      <c r="E12" s="16">
        <f>IF('B Fasad och del av utemiljö'!$C$8+1&gt;A12,D12,0)</f>
        <v>69135.953831326726</v>
      </c>
      <c r="F12" s="16"/>
      <c r="G12" s="16"/>
      <c r="H12" s="78">
        <f>IF(A12=('B Fasad och del av utemiljö'!$C$8+1),('B Fasad och del av utemiljö'!$C$49/'B Fasad och del av utemiljö'!$C$10)*('B Fasad och del av utemiljö'!$C$10-'B Fasad och del av utemiljö'!$C$8),0)</f>
        <v>0</v>
      </c>
      <c r="I12" s="78">
        <f>H12*(1/(1+'B Fasad och del av utemiljö'!$C$11)^A12)</f>
        <v>0</v>
      </c>
      <c r="J12" s="16">
        <f>'B Fasad och del av utemiljö'!$C$43/(POWER(1+'B Fasad och del av utemiljö'!$C$11,A12))</f>
        <v>0</v>
      </c>
      <c r="K12" s="16">
        <f>IF('B Fasad och del av utemiljö'!$C$8+1&gt;A12,J12,0)</f>
        <v>0</v>
      </c>
      <c r="L12" s="16">
        <f>'B Fasad och del av utemiljö'!$C$44/(POWER(1+'B Fasad och del av utemiljö'!$C$11,A12))</f>
        <v>0</v>
      </c>
      <c r="M12" s="16">
        <f>IF('B Fasad och del av utemiljö'!$C$8+1&gt;A12,L12,0)</f>
        <v>0</v>
      </c>
      <c r="N12" s="16"/>
      <c r="O12">
        <v>9</v>
      </c>
      <c r="P12" s="16">
        <f t="shared" si="0"/>
        <v>25743.603971792636</v>
      </c>
      <c r="Q12" s="16">
        <f t="shared" si="1"/>
        <v>69135.953831326726</v>
      </c>
      <c r="R12" s="16"/>
      <c r="S12" s="16"/>
      <c r="T12" s="78">
        <f t="shared" si="2"/>
        <v>0</v>
      </c>
      <c r="U12" s="16">
        <f t="shared" si="3"/>
        <v>0</v>
      </c>
      <c r="Y12" s="16"/>
      <c r="Z12" s="16"/>
    </row>
    <row r="13" spans="1:26" x14ac:dyDescent="0.25">
      <c r="A13">
        <v>10</v>
      </c>
      <c r="B13" s="16">
        <f>('B Fasad och del av utemiljö'!$C$56*(1/(1+'B Fasad och del av utemiljö'!$C$11)^A13))*(('B Fasad och del av utemiljö'!$C$13+1)^NuvFasadUtemiljö!A13)</f>
        <v>25159.087359872712</v>
      </c>
      <c r="C13" s="16">
        <f>IF('B Fasad och del av utemiljö'!$C$8+1&gt;A13,B13,0)</f>
        <v>25159.087359872712</v>
      </c>
      <c r="D13" s="16">
        <f>('B Fasad och del av utemiljö'!$C$57*(1/(1+'B Fasad och del av utemiljö'!$C$11)^A13))*((1+'B Fasad och del av utemiljö'!$C$13)^NuvFasadUtemiljö!A13)</f>
        <v>67566.200290228982</v>
      </c>
      <c r="E13" s="16">
        <f>IF('B Fasad och del av utemiljö'!$C$8+1&gt;A13,D13,0)</f>
        <v>67566.200290228982</v>
      </c>
      <c r="F13" s="16"/>
      <c r="G13" s="16"/>
      <c r="H13" s="78">
        <f>IF(A13=('B Fasad och del av utemiljö'!$C$8+1),('B Fasad och del av utemiljö'!$C$49/'B Fasad och del av utemiljö'!$C$10)*('B Fasad och del av utemiljö'!$C$10-'B Fasad och del av utemiljö'!$C$8),0)</f>
        <v>0</v>
      </c>
      <c r="I13" s="78">
        <f>H13*(1/(1+'B Fasad och del av utemiljö'!$C$11)^A13)</f>
        <v>0</v>
      </c>
      <c r="J13" s="16">
        <f>'B Fasad och del av utemiljö'!$C$43/(POWER(1+'B Fasad och del av utemiljö'!$C$11,A13))</f>
        <v>0</v>
      </c>
      <c r="K13" s="16">
        <f>IF('B Fasad och del av utemiljö'!$C$8+1&gt;A13,J13,0)</f>
        <v>0</v>
      </c>
      <c r="L13" s="16">
        <f>'B Fasad och del av utemiljö'!$C$44/(POWER(1+'B Fasad och del av utemiljö'!$C$11,A13))</f>
        <v>0</v>
      </c>
      <c r="M13" s="16">
        <f>IF('B Fasad och del av utemiljö'!$C$8+1&gt;A13,L13,0)</f>
        <v>0</v>
      </c>
      <c r="N13" s="16"/>
      <c r="O13">
        <v>10</v>
      </c>
      <c r="P13" s="16">
        <f t="shared" si="0"/>
        <v>25159.087359872712</v>
      </c>
      <c r="Q13" s="16">
        <f t="shared" si="1"/>
        <v>67566.200290228982</v>
      </c>
      <c r="R13" s="16"/>
      <c r="S13" s="16"/>
      <c r="T13" s="78">
        <f t="shared" si="2"/>
        <v>0</v>
      </c>
      <c r="U13" s="16">
        <f t="shared" si="3"/>
        <v>0</v>
      </c>
      <c r="Y13" s="16"/>
      <c r="Z13" s="16"/>
    </row>
    <row r="14" spans="1:26" x14ac:dyDescent="0.25">
      <c r="A14">
        <v>11</v>
      </c>
      <c r="B14" s="16">
        <f>('B Fasad och del av utemiljö'!$C$56*(1/(1+'B Fasad och del av utemiljö'!$C$11)^A14))*(('B Fasad och del av utemiljö'!$C$13+1)^NuvFasadUtemiljö!A14)</f>
        <v>24587.842381170289</v>
      </c>
      <c r="C14" s="16">
        <f>IF('B Fasad och del av utemiljö'!$C$8+1&gt;A14,B14,0)</f>
        <v>24587.842381170289</v>
      </c>
      <c r="D14" s="16">
        <f>('B Fasad och del av utemiljö'!$C$57*(1/(1+'B Fasad och del av utemiljö'!$C$11)^A14))*((1+'B Fasad och del av utemiljö'!$C$13)^NuvFasadUtemiljö!A14)</f>
        <v>66032.088496199634</v>
      </c>
      <c r="E14" s="16">
        <f>IF('B Fasad och del av utemiljö'!$C$8+1&gt;A14,D14,0)</f>
        <v>66032.088496199634</v>
      </c>
      <c r="F14" s="16"/>
      <c r="G14" s="16"/>
      <c r="H14" s="78">
        <f>IF(A14=('B Fasad och del av utemiljö'!$C$8+1),('B Fasad och del av utemiljö'!$C$49/'B Fasad och del av utemiljö'!$C$10)*('B Fasad och del av utemiljö'!$C$10-'B Fasad och del av utemiljö'!$C$8),0)</f>
        <v>0</v>
      </c>
      <c r="I14" s="78">
        <f>H14*(1/(1+'B Fasad och del av utemiljö'!$C$11)^A14)</f>
        <v>0</v>
      </c>
      <c r="J14" s="16">
        <f>'B Fasad och del av utemiljö'!$C$43/(POWER(1+'B Fasad och del av utemiljö'!$C$11,A14))</f>
        <v>0</v>
      </c>
      <c r="K14" s="16">
        <f>IF('B Fasad och del av utemiljö'!$C$8+1&gt;A14,J14,0)</f>
        <v>0</v>
      </c>
      <c r="L14" s="16">
        <f>'B Fasad och del av utemiljö'!$C$44/(POWER(1+'B Fasad och del av utemiljö'!$C$11,A14))</f>
        <v>0</v>
      </c>
      <c r="M14" s="16">
        <f>IF('B Fasad och del av utemiljö'!$C$8+1&gt;A14,L14,0)</f>
        <v>0</v>
      </c>
      <c r="N14" s="16"/>
      <c r="O14">
        <v>11</v>
      </c>
      <c r="P14" s="16">
        <f t="shared" si="0"/>
        <v>24587.842381170289</v>
      </c>
      <c r="Q14" s="16">
        <f t="shared" si="1"/>
        <v>66032.088496199634</v>
      </c>
      <c r="R14" s="16"/>
      <c r="S14" s="16"/>
      <c r="T14" s="78">
        <f t="shared" si="2"/>
        <v>0</v>
      </c>
      <c r="U14" s="16">
        <f t="shared" si="3"/>
        <v>0</v>
      </c>
      <c r="Y14" s="16"/>
      <c r="Z14" s="16"/>
    </row>
    <row r="15" spans="1:26" x14ac:dyDescent="0.25">
      <c r="A15">
        <v>12</v>
      </c>
      <c r="B15" s="16">
        <f>('B Fasad och del av utemiljö'!$C$56*(1/(1+'B Fasad och del av utemiljö'!$C$11)^A15))*(('B Fasad och del av utemiljö'!$C$13+1)^NuvFasadUtemiljö!A15)</f>
        <v>24029.567699085746</v>
      </c>
      <c r="C15" s="16">
        <f>IF('B Fasad och del av utemiljö'!$C$8+1&gt;A15,B15,0)</f>
        <v>24029.567699085746</v>
      </c>
      <c r="D15" s="16">
        <f>('B Fasad och del av utemiljö'!$C$57*(1/(1+'B Fasad och del av utemiljö'!$C$11)^A15))*((1+'B Fasad och del av utemiljö'!$C$13)^NuvFasadUtemiljö!A15)</f>
        <v>64532.809192179644</v>
      </c>
      <c r="E15" s="16">
        <f>IF('B Fasad och del av utemiljö'!$C$8+1&gt;A15,D15,0)</f>
        <v>64532.809192179644</v>
      </c>
      <c r="F15" s="16"/>
      <c r="G15" s="16"/>
      <c r="H15" s="78">
        <f>IF(A15=('B Fasad och del av utemiljö'!$C$8+1),('B Fasad och del av utemiljö'!$C$49/'B Fasad och del av utemiljö'!$C$10)*('B Fasad och del av utemiljö'!$C$10-'B Fasad och del av utemiljö'!$C$8),0)</f>
        <v>0</v>
      </c>
      <c r="I15" s="78">
        <f>H15*(1/(1+'B Fasad och del av utemiljö'!$C$11)^A15)</f>
        <v>0</v>
      </c>
      <c r="J15" s="16">
        <f>'B Fasad och del av utemiljö'!$C$43/(POWER(1+'B Fasad och del av utemiljö'!$C$11,A15))</f>
        <v>0</v>
      </c>
      <c r="K15" s="16">
        <f>IF('B Fasad och del av utemiljö'!$C$8+1&gt;A15,J15,0)</f>
        <v>0</v>
      </c>
      <c r="L15" s="16">
        <f>'B Fasad och del av utemiljö'!$C$44/(POWER(1+'B Fasad och del av utemiljö'!$C$11,A15))</f>
        <v>0</v>
      </c>
      <c r="M15" s="16">
        <f>IF('B Fasad och del av utemiljö'!$C$8+1&gt;A15,L15,0)</f>
        <v>0</v>
      </c>
      <c r="N15" s="16"/>
      <c r="O15">
        <v>12</v>
      </c>
      <c r="P15" s="16">
        <f t="shared" si="0"/>
        <v>24029.567699085746</v>
      </c>
      <c r="Q15" s="16">
        <f t="shared" si="1"/>
        <v>64532.809192179644</v>
      </c>
      <c r="R15" s="16"/>
      <c r="S15" s="16"/>
      <c r="T15" s="78">
        <f t="shared" si="2"/>
        <v>0</v>
      </c>
      <c r="U15" s="16">
        <f t="shared" si="3"/>
        <v>0</v>
      </c>
      <c r="Y15" s="16"/>
      <c r="Z15" s="16"/>
    </row>
    <row r="16" spans="1:26" x14ac:dyDescent="0.25">
      <c r="A16">
        <v>13</v>
      </c>
      <c r="B16" s="16">
        <f>('B Fasad och del av utemiljö'!$C$56*(1/(1+'B Fasad och del av utemiljö'!$C$11)^A16))*(('B Fasad och del av utemiljö'!$C$13+1)^NuvFasadUtemiljö!A16)</f>
        <v>23483.968818961584</v>
      </c>
      <c r="C16" s="16">
        <f>IF('B Fasad och del av utemiljö'!$C$8+1&gt;A16,B16,0)</f>
        <v>23483.968818961584</v>
      </c>
      <c r="D16" s="16">
        <f>('B Fasad och del av utemiljö'!$C$57*(1/(1+'B Fasad och del av utemiljö'!$C$11)^A16))*((1+'B Fasad och del av utemiljö'!$C$13)^NuvFasadUtemiljö!A16)</f>
        <v>63067.571495545628</v>
      </c>
      <c r="E16" s="16">
        <f>IF('B Fasad och del av utemiljö'!$C$8+1&gt;A16,D16,0)</f>
        <v>63067.571495545628</v>
      </c>
      <c r="F16" s="16"/>
      <c r="G16" s="16"/>
      <c r="H16" s="78">
        <f>IF(A16=('B Fasad och del av utemiljö'!$C$8+1),('B Fasad och del av utemiljö'!$C$49/'B Fasad och del av utemiljö'!$C$10)*('B Fasad och del av utemiljö'!$C$10-'B Fasad och del av utemiljö'!$C$8),0)</f>
        <v>0</v>
      </c>
      <c r="I16" s="78">
        <f>H16*(1/(1+'B Fasad och del av utemiljö'!$C$11)^A16)</f>
        <v>0</v>
      </c>
      <c r="J16" s="16">
        <f>'B Fasad och del av utemiljö'!$C$43/(POWER(1+'B Fasad och del av utemiljö'!$C$11,A16))</f>
        <v>0</v>
      </c>
      <c r="K16" s="16">
        <f>IF('B Fasad och del av utemiljö'!$C$8+1&gt;A16,J16,0)</f>
        <v>0</v>
      </c>
      <c r="L16" s="16">
        <f>'B Fasad och del av utemiljö'!$C$44/(POWER(1+'B Fasad och del av utemiljö'!$C$11,A16))</f>
        <v>0</v>
      </c>
      <c r="M16" s="16">
        <f>IF('B Fasad och del av utemiljö'!$C$8+1&gt;A16,L16,0)</f>
        <v>0</v>
      </c>
      <c r="N16" s="16"/>
      <c r="O16">
        <v>13</v>
      </c>
      <c r="P16" s="16">
        <f t="shared" si="0"/>
        <v>23483.968818961584</v>
      </c>
      <c r="Q16" s="16">
        <f t="shared" si="1"/>
        <v>63067.571495545628</v>
      </c>
      <c r="R16" s="16"/>
      <c r="S16" s="16"/>
      <c r="T16" s="78">
        <f t="shared" si="2"/>
        <v>0</v>
      </c>
      <c r="U16" s="16">
        <f t="shared" si="3"/>
        <v>0</v>
      </c>
      <c r="Y16" s="16"/>
      <c r="Z16" s="16"/>
    </row>
    <row r="17" spans="1:26" x14ac:dyDescent="0.25">
      <c r="A17">
        <v>14</v>
      </c>
      <c r="B17" s="16">
        <f>('B Fasad och del av utemiljö'!$C$56*(1/(1+'B Fasad och del av utemiljö'!$C$11)^A17))*(('B Fasad och del av utemiljö'!$C$13+1)^NuvFasadUtemiljö!A17)</f>
        <v>22950.757932733952</v>
      </c>
      <c r="C17" s="16">
        <f>IF('B Fasad och del av utemiljö'!$C$8+1&gt;A17,B17,0)</f>
        <v>22950.757932733952</v>
      </c>
      <c r="D17" s="16">
        <f>('B Fasad och del av utemiljö'!$C$57*(1/(1+'B Fasad och del av utemiljö'!$C$11)^A17))*((1+'B Fasad och del av utemiljö'!$C$13)^NuvFasadUtemiljö!A17)</f>
        <v>61635.602480912465</v>
      </c>
      <c r="E17" s="16">
        <f>IF('B Fasad och del av utemiljö'!$C$8+1&gt;A17,D17,0)</f>
        <v>61635.602480912465</v>
      </c>
      <c r="F17" s="16"/>
      <c r="G17" s="16"/>
      <c r="H17" s="78">
        <f>IF(A17=('B Fasad och del av utemiljö'!$C$8+1),('B Fasad och del av utemiljö'!$C$49/'B Fasad och del av utemiljö'!$C$10)*('B Fasad och del av utemiljö'!$C$10-'B Fasad och del av utemiljö'!$C$8),0)</f>
        <v>0</v>
      </c>
      <c r="I17" s="78">
        <f>H17*(1/(1+'B Fasad och del av utemiljö'!$C$11)^A17)</f>
        <v>0</v>
      </c>
      <c r="J17" s="16">
        <f>'B Fasad och del av utemiljö'!$C$43/(POWER(1+'B Fasad och del av utemiljö'!$C$11,A17))</f>
        <v>0</v>
      </c>
      <c r="K17" s="16">
        <f>IF('B Fasad och del av utemiljö'!$C$8+1&gt;A17,J17,0)</f>
        <v>0</v>
      </c>
      <c r="L17" s="16">
        <f>'B Fasad och del av utemiljö'!$C$44/(POWER(1+'B Fasad och del av utemiljö'!$C$11,A17))</f>
        <v>0</v>
      </c>
      <c r="M17" s="16">
        <f>IF('B Fasad och del av utemiljö'!$C$8+1&gt;A17,L17,0)</f>
        <v>0</v>
      </c>
      <c r="N17" s="16"/>
      <c r="O17">
        <v>14</v>
      </c>
      <c r="P17" s="16">
        <f t="shared" si="0"/>
        <v>22950.757932733952</v>
      </c>
      <c r="Q17" s="16">
        <f t="shared" si="1"/>
        <v>61635.602480912465</v>
      </c>
      <c r="R17" s="16"/>
      <c r="S17" s="16"/>
      <c r="T17" s="78">
        <f t="shared" si="2"/>
        <v>0</v>
      </c>
      <c r="U17" s="16">
        <f t="shared" si="3"/>
        <v>0</v>
      </c>
      <c r="Y17" s="16"/>
      <c r="Z17" s="16"/>
    </row>
    <row r="18" spans="1:26" x14ac:dyDescent="0.25">
      <c r="A18">
        <v>15</v>
      </c>
      <c r="B18" s="16">
        <f>('B Fasad och del av utemiljö'!$C$56*(1/(1+'B Fasad och del av utemiljö'!$C$11)^A18))*(('B Fasad och del av utemiljö'!$C$13+1)^NuvFasadUtemiljö!A18)</f>
        <v>22429.6537671115</v>
      </c>
      <c r="C18" s="16">
        <f>IF('B Fasad och del av utemiljö'!$C$8+1&gt;A18,B18,0)</f>
        <v>22429.6537671115</v>
      </c>
      <c r="D18" s="16">
        <f>('B Fasad och del av utemiljö'!$C$57*(1/(1+'B Fasad och del av utemiljö'!$C$11)^A18))*((1+'B Fasad och del av utemiljö'!$C$13)^NuvFasadUtemiljö!A18)</f>
        <v>60236.146772408683</v>
      </c>
      <c r="E18" s="16">
        <f>IF('B Fasad och del av utemiljö'!$C$8+1&gt;A18,D18,0)</f>
        <v>60236.146772408683</v>
      </c>
      <c r="F18" s="16"/>
      <c r="G18" s="16"/>
      <c r="H18" s="78">
        <f>IF(A18=('B Fasad och del av utemiljö'!$C$8+1),('B Fasad och del av utemiljö'!$C$49/'B Fasad och del av utemiljö'!$C$10)*('B Fasad och del av utemiljö'!$C$10-'B Fasad och del av utemiljö'!$C$8),0)</f>
        <v>0</v>
      </c>
      <c r="I18" s="78">
        <f>H18*(1/(1+'B Fasad och del av utemiljö'!$C$11)^A18)</f>
        <v>0</v>
      </c>
      <c r="J18" s="16">
        <f>'B Fasad och del av utemiljö'!$C$43/(POWER(1+'B Fasad och del av utemiljö'!$C$11,A18))</f>
        <v>0</v>
      </c>
      <c r="K18" s="16">
        <f>IF('B Fasad och del av utemiljö'!$C$8+1&gt;A18,J18,0)</f>
        <v>0</v>
      </c>
      <c r="L18" s="16">
        <f>'B Fasad och del av utemiljö'!$C$44/(POWER(1+'B Fasad och del av utemiljö'!$C$11,A18))</f>
        <v>0</v>
      </c>
      <c r="M18" s="16">
        <f>IF('B Fasad och del av utemiljö'!$C$8+1&gt;A18,L18,0)</f>
        <v>0</v>
      </c>
      <c r="N18" s="16"/>
      <c r="O18">
        <v>15</v>
      </c>
      <c r="P18" s="16">
        <f t="shared" si="0"/>
        <v>22429.6537671115</v>
      </c>
      <c r="Q18" s="16">
        <f t="shared" si="1"/>
        <v>60236.146772408683</v>
      </c>
      <c r="R18" s="16"/>
      <c r="S18" s="16"/>
      <c r="T18" s="78">
        <f t="shared" si="2"/>
        <v>0</v>
      </c>
      <c r="U18" s="16">
        <f t="shared" si="3"/>
        <v>0</v>
      </c>
      <c r="Y18" s="16"/>
      <c r="Z18" s="16"/>
    </row>
    <row r="19" spans="1:26" x14ac:dyDescent="0.25">
      <c r="A19">
        <v>16</v>
      </c>
      <c r="B19" s="16">
        <f>('B Fasad och del av utemiljö'!$C$56*(1/(1+'B Fasad och del av utemiljö'!$C$11)^A19))*(('B Fasad och del av utemiljö'!$C$13+1)^NuvFasadUtemiljö!A19)</f>
        <v>21920.381435201241</v>
      </c>
      <c r="C19" s="16">
        <f>IF('B Fasad och del av utemiljö'!$C$8+1&gt;A19,B19,0)</f>
        <v>21920.381435201241</v>
      </c>
      <c r="D19" s="16">
        <f>('B Fasad och del av utemiljö'!$C$57*(1/(1+'B Fasad och del av utemiljö'!$C$11)^A19))*((1+'B Fasad och del av utemiljö'!$C$13)^NuvFasadUtemiljö!A19)</f>
        <v>58868.466145209073</v>
      </c>
      <c r="E19" s="16">
        <f>IF('B Fasad och del av utemiljö'!$C$8+1&gt;A19,D19,0)</f>
        <v>58868.466145209073</v>
      </c>
      <c r="F19" s="16"/>
      <c r="G19" s="16"/>
      <c r="H19" s="78">
        <f>IF(A19=('B Fasad och del av utemiljö'!$C$8+1),('B Fasad och del av utemiljö'!$C$49/'B Fasad och del av utemiljö'!$C$10)*('B Fasad och del av utemiljö'!$C$10-'B Fasad och del av utemiljö'!$C$8),0)</f>
        <v>0</v>
      </c>
      <c r="I19" s="78">
        <f>H19*(1/(1+'B Fasad och del av utemiljö'!$C$11)^A19)</f>
        <v>0</v>
      </c>
      <c r="J19" s="16">
        <f>'B Fasad och del av utemiljö'!$C$43/(POWER(1+'B Fasad och del av utemiljö'!$C$11,A19))</f>
        <v>0</v>
      </c>
      <c r="K19" s="16">
        <f>IF('B Fasad och del av utemiljö'!$C$8+1&gt;A19,J19,0)</f>
        <v>0</v>
      </c>
      <c r="L19" s="16">
        <f>'B Fasad och del av utemiljö'!$C$44/(POWER(1+'B Fasad och del av utemiljö'!$C$11,A19))</f>
        <v>0</v>
      </c>
      <c r="M19" s="16">
        <f>IF('B Fasad och del av utemiljö'!$C$8+1&gt;A19,L19,0)</f>
        <v>0</v>
      </c>
      <c r="N19" s="16"/>
      <c r="O19">
        <v>16</v>
      </c>
      <c r="P19" s="16">
        <f t="shared" si="0"/>
        <v>21920.381435201241</v>
      </c>
      <c r="Q19" s="16">
        <f t="shared" si="1"/>
        <v>58868.466145209073</v>
      </c>
      <c r="R19" s="16"/>
      <c r="S19" s="16"/>
      <c r="T19" s="78">
        <f t="shared" si="2"/>
        <v>0</v>
      </c>
      <c r="U19" s="16">
        <f t="shared" si="3"/>
        <v>0</v>
      </c>
      <c r="Y19" s="16"/>
      <c r="Z19" s="16"/>
    </row>
    <row r="20" spans="1:26" x14ac:dyDescent="0.25">
      <c r="A20">
        <v>17</v>
      </c>
      <c r="B20" s="16">
        <f>('B Fasad och del av utemiljö'!$C$56*(1/(1+'B Fasad och del av utemiljö'!$C$11)^A20))*(('B Fasad och del av utemiljö'!$C$13+1)^NuvFasadUtemiljö!A20)</f>
        <v>21422.672291503441</v>
      </c>
      <c r="C20" s="16">
        <f>IF('B Fasad och del av utemiljö'!$C$8+1&gt;A20,B20,0)</f>
        <v>21422.672291503441</v>
      </c>
      <c r="D20" s="16">
        <f>('B Fasad och del av utemiljö'!$C$57*(1/(1+'B Fasad och del av utemiljö'!$C$11)^A20))*((1+'B Fasad och del av utemiljö'!$C$13)^NuvFasadUtemiljö!A20)</f>
        <v>57531.83913611497</v>
      </c>
      <c r="E20" s="16">
        <f>IF('B Fasad och del av utemiljö'!$C$8+1&gt;A20,D20,0)</f>
        <v>57531.83913611497</v>
      </c>
      <c r="F20" s="16"/>
      <c r="G20" s="16"/>
      <c r="H20" s="78">
        <f>IF(A20=('B Fasad och del av utemiljö'!$C$8+1),('B Fasad och del av utemiljö'!$C$49/'B Fasad och del av utemiljö'!$C$10)*('B Fasad och del av utemiljö'!$C$10-'B Fasad och del av utemiljö'!$C$8),0)</f>
        <v>0</v>
      </c>
      <c r="I20" s="78">
        <f>H20*(1/(1+'B Fasad och del av utemiljö'!$C$11)^A20)</f>
        <v>0</v>
      </c>
      <c r="J20" s="16">
        <f>'B Fasad och del av utemiljö'!$C$43/(POWER(1+'B Fasad och del av utemiljö'!$C$11,A20))</f>
        <v>0</v>
      </c>
      <c r="K20" s="16">
        <f>IF('B Fasad och del av utemiljö'!$C$8+1&gt;A20,J20,0)</f>
        <v>0</v>
      </c>
      <c r="L20" s="16">
        <f>'B Fasad och del av utemiljö'!$C$44/(POWER(1+'B Fasad och del av utemiljö'!$C$11,A20))</f>
        <v>0</v>
      </c>
      <c r="M20" s="16">
        <f>IF('B Fasad och del av utemiljö'!$C$8+1&gt;A20,L20,0)</f>
        <v>0</v>
      </c>
      <c r="N20" s="16"/>
      <c r="O20">
        <v>17</v>
      </c>
      <c r="P20" s="16">
        <f t="shared" si="0"/>
        <v>21422.672291503441</v>
      </c>
      <c r="Q20" s="16">
        <f t="shared" si="1"/>
        <v>57531.83913611497</v>
      </c>
      <c r="R20" s="16"/>
      <c r="S20" s="16"/>
      <c r="T20" s="78">
        <f t="shared" si="2"/>
        <v>0</v>
      </c>
      <c r="U20" s="16">
        <f t="shared" si="3"/>
        <v>0</v>
      </c>
      <c r="Y20" s="16"/>
      <c r="Z20" s="16"/>
    </row>
    <row r="21" spans="1:26" x14ac:dyDescent="0.25">
      <c r="A21">
        <v>18</v>
      </c>
      <c r="B21" s="16">
        <f>('B Fasad och del av utemiljö'!$C$56*(1/(1+'B Fasad och del av utemiljö'!$C$11)^A21))*(('B Fasad och del av utemiljö'!$C$13+1)^NuvFasadUtemiljö!A21)</f>
        <v>20936.263790198776</v>
      </c>
      <c r="C21" s="16">
        <f>IF('B Fasad och del av utemiljö'!$C$8+1&gt;A21,B21,0)</f>
        <v>20936.263790198776</v>
      </c>
      <c r="D21" s="16">
        <f>('B Fasad och del av utemiljö'!$C$57*(1/(1+'B Fasad och del av utemiljö'!$C$11)^A21))*((1+'B Fasad och del av utemiljö'!$C$13)^NuvFasadUtemiljö!A21)</f>
        <v>56225.560662976131</v>
      </c>
      <c r="E21" s="16">
        <f>IF('B Fasad och del av utemiljö'!$C$8+1&gt;A21,D21,0)</f>
        <v>56225.560662976131</v>
      </c>
      <c r="F21" s="16"/>
      <c r="G21" s="16"/>
      <c r="H21" s="78">
        <f>IF(A21=('B Fasad och del av utemiljö'!$C$8+1),('B Fasad och del av utemiljö'!$C$49/'B Fasad och del av utemiljö'!$C$10)*('B Fasad och del av utemiljö'!$C$10-'B Fasad och del av utemiljö'!$C$8),0)</f>
        <v>0</v>
      </c>
      <c r="I21" s="78">
        <f>H21*(1/(1+'B Fasad och del av utemiljö'!$C$11)^A21)</f>
        <v>0</v>
      </c>
      <c r="J21" s="16">
        <f>'B Fasad och del av utemiljö'!$C$43/(POWER(1+'B Fasad och del av utemiljö'!$C$11,A21))</f>
        <v>0</v>
      </c>
      <c r="K21" s="16">
        <f>IF('B Fasad och del av utemiljö'!$C$8+1&gt;A21,J21,0)</f>
        <v>0</v>
      </c>
      <c r="L21" s="16">
        <f>'B Fasad och del av utemiljö'!$C$44/(POWER(1+'B Fasad och del av utemiljö'!$C$11,A21))</f>
        <v>0</v>
      </c>
      <c r="M21" s="16">
        <f>IF('B Fasad och del av utemiljö'!$C$8+1&gt;A21,L21,0)</f>
        <v>0</v>
      </c>
      <c r="N21" s="16"/>
      <c r="O21">
        <v>18</v>
      </c>
      <c r="P21" s="16">
        <f t="shared" si="0"/>
        <v>20936.263790198776</v>
      </c>
      <c r="Q21" s="16">
        <f t="shared" si="1"/>
        <v>56225.560662976131</v>
      </c>
      <c r="R21" s="16"/>
      <c r="S21" s="16"/>
      <c r="T21" s="78">
        <f t="shared" si="2"/>
        <v>0</v>
      </c>
      <c r="U21" s="16">
        <f t="shared" si="3"/>
        <v>0</v>
      </c>
      <c r="Y21" s="16"/>
      <c r="Z21" s="16"/>
    </row>
    <row r="22" spans="1:26" x14ac:dyDescent="0.25">
      <c r="A22">
        <v>19</v>
      </c>
      <c r="B22" s="16">
        <f>('B Fasad och del av utemiljö'!$C$56*(1/(1+'B Fasad och del av utemiljö'!$C$11)^A22))*(('B Fasad och del av utemiljö'!$C$13+1)^NuvFasadUtemiljö!A22)</f>
        <v>20460.899346653205</v>
      </c>
      <c r="C22" s="16">
        <f>IF('B Fasad och del av utemiljö'!$C$8+1&gt;A22,B22,0)</f>
        <v>20460.899346653205</v>
      </c>
      <c r="D22" s="16">
        <f>('B Fasad och del av utemiljö'!$C$57*(1/(1+'B Fasad och del av utemiljö'!$C$11)^A22))*((1+'B Fasad och del av utemiljö'!$C$13)^NuvFasadUtemiljö!A22)</f>
        <v>54948.941652753987</v>
      </c>
      <c r="E22" s="16">
        <f>IF('B Fasad och del av utemiljö'!$C$8+1&gt;A22,D22,0)</f>
        <v>54948.941652753987</v>
      </c>
      <c r="F22" s="16"/>
      <c r="G22" s="16"/>
      <c r="H22" s="78">
        <f>IF(A22=('B Fasad och del av utemiljö'!$C$8+1),('B Fasad och del av utemiljö'!$C$49/'B Fasad och del av utemiljö'!$C$10)*('B Fasad och del av utemiljö'!$C$10-'B Fasad och del av utemiljö'!$C$8),0)</f>
        <v>0</v>
      </c>
      <c r="I22" s="78">
        <f>H22*(1/(1+'B Fasad och del av utemiljö'!$C$11)^A22)</f>
        <v>0</v>
      </c>
      <c r="J22" s="16">
        <f>'B Fasad och del av utemiljö'!$C$43/(POWER(1+'B Fasad och del av utemiljö'!$C$11,A22))</f>
        <v>0</v>
      </c>
      <c r="K22" s="16">
        <f>IF('B Fasad och del av utemiljö'!$C$8+1&gt;A22,J22,0)</f>
        <v>0</v>
      </c>
      <c r="L22" s="16">
        <f>'B Fasad och del av utemiljö'!$C$44/(POWER(1+'B Fasad och del av utemiljö'!$C$11,A22))</f>
        <v>0</v>
      </c>
      <c r="M22" s="16">
        <f>IF('B Fasad och del av utemiljö'!$C$8+1&gt;A22,L22,0)</f>
        <v>0</v>
      </c>
      <c r="N22" s="16"/>
      <c r="O22">
        <v>19</v>
      </c>
      <c r="P22" s="16">
        <f t="shared" si="0"/>
        <v>20460.899346653205</v>
      </c>
      <c r="Q22" s="16">
        <f t="shared" si="1"/>
        <v>54948.941652753987</v>
      </c>
      <c r="R22" s="16"/>
      <c r="S22" s="16"/>
      <c r="T22" s="78">
        <f t="shared" si="2"/>
        <v>0</v>
      </c>
      <c r="U22" s="16">
        <f t="shared" si="3"/>
        <v>0</v>
      </c>
      <c r="Y22" s="16"/>
      <c r="Z22" s="16"/>
    </row>
    <row r="23" spans="1:26" x14ac:dyDescent="0.25">
      <c r="A23">
        <v>20</v>
      </c>
      <c r="B23" s="16">
        <f>('B Fasad och del av utemiljö'!$C$56*(1/(1+'B Fasad och del av utemiljö'!$C$11)^A23))*(('B Fasad och del av utemiljö'!$C$13+1)^NuvFasadUtemiljö!A23)</f>
        <v>19996.328202067361</v>
      </c>
      <c r="C23" s="16">
        <f>IF('B Fasad och del av utemiljö'!$C$8+1&gt;A23,B23,0)</f>
        <v>19996.328202067361</v>
      </c>
      <c r="D23" s="16">
        <f>('B Fasad och del av utemiljö'!$C$57*(1/(1+'B Fasad och del av utemiljö'!$C$11)^A23))*((1+'B Fasad och del av utemiljö'!$C$13)^NuvFasadUtemiljö!A23)</f>
        <v>53701.308678029614</v>
      </c>
      <c r="E23" s="16">
        <f>IF('B Fasad och del av utemiljö'!$C$8+1&gt;A23,D23,0)</f>
        <v>53701.308678029614</v>
      </c>
      <c r="F23" s="16"/>
      <c r="G23" s="16"/>
      <c r="H23" s="78">
        <f>IF(A23=('B Fasad och del av utemiljö'!$C$8+1),('B Fasad och del av utemiljö'!$C$49/'B Fasad och del av utemiljö'!$C$10)*('B Fasad och del av utemiljö'!$C$10-'B Fasad och del av utemiljö'!$C$8),0)</f>
        <v>0</v>
      </c>
      <c r="I23" s="78">
        <f>H23*(1/(1+'B Fasad och del av utemiljö'!$C$11)^A23)</f>
        <v>0</v>
      </c>
      <c r="J23" s="16">
        <f>'B Fasad och del av utemiljö'!$C$43/(POWER(1+'B Fasad och del av utemiljö'!$C$11,A23))</f>
        <v>0</v>
      </c>
      <c r="K23" s="16">
        <f>IF('B Fasad och del av utemiljö'!$C$8+1&gt;A23,J23,0)</f>
        <v>0</v>
      </c>
      <c r="L23" s="16">
        <f>'B Fasad och del av utemiljö'!$C$44/(POWER(1+'B Fasad och del av utemiljö'!$C$11,A23))</f>
        <v>0</v>
      </c>
      <c r="M23" s="16">
        <f>IF('B Fasad och del av utemiljö'!$C$8+1&gt;A23,L23,0)</f>
        <v>0</v>
      </c>
      <c r="N23" s="16"/>
      <c r="O23">
        <v>20</v>
      </c>
      <c r="P23" s="16">
        <f t="shared" si="0"/>
        <v>19996.328202067361</v>
      </c>
      <c r="Q23" s="16">
        <f t="shared" si="1"/>
        <v>53701.308678029614</v>
      </c>
      <c r="R23" s="16"/>
      <c r="S23" s="16"/>
      <c r="T23" s="78">
        <f t="shared" si="2"/>
        <v>0</v>
      </c>
      <c r="U23" s="16">
        <f t="shared" si="3"/>
        <v>0</v>
      </c>
      <c r="Y23" s="16"/>
      <c r="Z23" s="16"/>
    </row>
    <row r="24" spans="1:26" x14ac:dyDescent="0.25">
      <c r="A24">
        <v>21</v>
      </c>
      <c r="B24" s="16">
        <f>('B Fasad och del av utemiljö'!$C$56*(1/(1+'B Fasad och del av utemiljö'!$C$11)^A24))*(('B Fasad och del av utemiljö'!$C$13+1)^NuvFasadUtemiljö!A24)</f>
        <v>19542.305291199169</v>
      </c>
      <c r="C24" s="16">
        <f>IF('B Fasad och del av utemiljö'!$C$8+1&gt;A24,B24,0)</f>
        <v>0</v>
      </c>
      <c r="D24" s="16">
        <f>('B Fasad och del av utemiljö'!$C$57*(1/(1+'B Fasad och del av utemiljö'!$C$11)^A24))*((1+'B Fasad och del av utemiljö'!$C$13)^NuvFasadUtemiljö!A24)</f>
        <v>52482.003601765195</v>
      </c>
      <c r="E24" s="16">
        <f>IF('B Fasad och del av utemiljö'!$C$8+1&gt;A24,D24,0)</f>
        <v>0</v>
      </c>
      <c r="F24" s="16"/>
      <c r="G24" s="16"/>
      <c r="H24" s="78">
        <f>IF(A24=('B Fasad och del av utemiljö'!$C$8+1),('B Fasad och del av utemiljö'!$C$49/'B Fasad och del av utemiljö'!$C$10)*('B Fasad och del av utemiljö'!$C$10-'B Fasad och del av utemiljö'!$C$8),0)</f>
        <v>320000</v>
      </c>
      <c r="I24" s="78">
        <f>H24*(1/(1+'B Fasad och del av utemiljö'!$C$11)^A24)</f>
        <v>155382.68890641027</v>
      </c>
      <c r="J24" s="16">
        <f>'B Fasad och del av utemiljö'!$C$43/(POWER(1+'B Fasad och del av utemiljö'!$C$11,A24))</f>
        <v>0</v>
      </c>
      <c r="K24" s="16">
        <f>IF('B Fasad och del av utemiljö'!$C$8+1&gt;A24,J24,0)</f>
        <v>0</v>
      </c>
      <c r="L24" s="16">
        <f>'B Fasad och del av utemiljö'!$C$44/(POWER(1+'B Fasad och del av utemiljö'!$C$11,A24))</f>
        <v>0</v>
      </c>
      <c r="M24" s="16">
        <f>IF('B Fasad och del av utemiljö'!$C$8+1&gt;A24,L24,0)</f>
        <v>0</v>
      </c>
      <c r="N24" s="16"/>
      <c r="O24">
        <v>21</v>
      </c>
      <c r="P24" s="16">
        <f t="shared" si="0"/>
        <v>0</v>
      </c>
      <c r="Q24" s="16">
        <f t="shared" si="1"/>
        <v>0</v>
      </c>
      <c r="R24" s="16"/>
      <c r="S24" s="16"/>
      <c r="T24" s="78">
        <f t="shared" si="2"/>
        <v>155382.68890641027</v>
      </c>
      <c r="U24" s="16">
        <f t="shared" si="3"/>
        <v>0</v>
      </c>
      <c r="Y24" s="16"/>
      <c r="Z24" s="16"/>
    </row>
    <row r="25" spans="1:26" x14ac:dyDescent="0.25">
      <c r="A25">
        <v>22</v>
      </c>
      <c r="B25" s="16">
        <f>('B Fasad och del av utemiljö'!$C$56*(1/(1+'B Fasad och del av utemiljö'!$C$11)^A25))*(('B Fasad och del av utemiljö'!$C$13+1)^NuvFasadUtemiljö!A25)</f>
        <v>19098.591113089817</v>
      </c>
      <c r="C25" s="16">
        <f>IF('B Fasad och del av utemiljö'!$C$8+1&gt;A25,B25,0)</f>
        <v>0</v>
      </c>
      <c r="D25" s="16">
        <f>('B Fasad och del av utemiljö'!$C$57*(1/(1+'B Fasad och del av utemiljö'!$C$11)^A25))*((1+'B Fasad och del av utemiljö'!$C$13)^NuvFasadUtemiljö!A25)</f>
        <v>51290.383230130916</v>
      </c>
      <c r="E25" s="16">
        <f>IF('B Fasad och del av utemiljö'!$C$8+1&gt;A25,D25,0)</f>
        <v>0</v>
      </c>
      <c r="F25" s="16"/>
      <c r="G25" s="16"/>
      <c r="H25" s="78">
        <f>IF(A25=('B Fasad och del av utemiljö'!$C$8+1),('B Fasad och del av utemiljö'!$C$49/'B Fasad och del av utemiljö'!$C$10)*('B Fasad och del av utemiljö'!$C$10-'B Fasad och del av utemiljö'!$C$8),0)</f>
        <v>0</v>
      </c>
      <c r="I25" s="78">
        <f>H25*(1/(1+'B Fasad och del av utemiljö'!$C$11)^A25)</f>
        <v>0</v>
      </c>
      <c r="J25" s="16">
        <f>'B Fasad och del av utemiljö'!$C$43/(POWER(1+'B Fasad och del av utemiljö'!$C$11,A25))</f>
        <v>0</v>
      </c>
      <c r="K25" s="16">
        <f>IF('B Fasad och del av utemiljö'!$C$8+1&gt;A25,J25,0)</f>
        <v>0</v>
      </c>
      <c r="L25" s="16">
        <f>'B Fasad och del av utemiljö'!$C$44/(POWER(1+'B Fasad och del av utemiljö'!$C$11,A25))</f>
        <v>0</v>
      </c>
      <c r="M25" s="16">
        <f>IF('B Fasad och del av utemiljö'!$C$8+1&gt;A25,L25,0)</f>
        <v>0</v>
      </c>
      <c r="N25" s="16"/>
      <c r="O25">
        <v>22</v>
      </c>
      <c r="P25" s="16">
        <f t="shared" si="0"/>
        <v>0</v>
      </c>
      <c r="Q25" s="16">
        <f t="shared" si="1"/>
        <v>0</v>
      </c>
      <c r="R25" s="16"/>
      <c r="S25" s="16"/>
      <c r="T25" s="78">
        <f t="shared" si="2"/>
        <v>0</v>
      </c>
      <c r="U25" s="16">
        <f t="shared" si="3"/>
        <v>0</v>
      </c>
      <c r="Y25" s="16"/>
      <c r="Z25" s="16"/>
    </row>
    <row r="26" spans="1:26" x14ac:dyDescent="0.25">
      <c r="A26">
        <v>23</v>
      </c>
      <c r="B26" s="16">
        <f>('B Fasad och del av utemiljö'!$C$56*(1/(1+'B Fasad och del av utemiljö'!$C$11)^A26))*(('B Fasad och del av utemiljö'!$C$13+1)^NuvFasadUtemiljö!A26)</f>
        <v>18664.951604724982</v>
      </c>
      <c r="C26" s="16">
        <f>IF('B Fasad och del av utemiljö'!$C$8+1&gt;A26,B26,0)</f>
        <v>0</v>
      </c>
      <c r="D26" s="16">
        <f>('B Fasad och del av utemiljö'!$C$57*(1/(1+'B Fasad och del av utemiljö'!$C$11)^A26))*((1+'B Fasad och del av utemiljö'!$C$13)^NuvFasadUtemiljö!A26)</f>
        <v>50125.818973214904</v>
      </c>
      <c r="E26" s="16">
        <f>IF('B Fasad och del av utemiljö'!$C$8+1&gt;A26,D26,0)</f>
        <v>0</v>
      </c>
      <c r="F26" s="16"/>
      <c r="G26" s="16"/>
      <c r="H26" s="78">
        <f>IF(A26=('B Fasad och del av utemiljö'!$C$8+1),('B Fasad och del av utemiljö'!$C$49/'B Fasad och del av utemiljö'!$C$10)*('B Fasad och del av utemiljö'!$C$10-'B Fasad och del av utemiljö'!$C$8),0)</f>
        <v>0</v>
      </c>
      <c r="I26" s="78">
        <f>H26*(1/(1+'B Fasad och del av utemiljö'!$C$11)^A26)</f>
        <v>0</v>
      </c>
      <c r="J26" s="16">
        <f>'B Fasad och del av utemiljö'!$C$43/(POWER(1+'B Fasad och del av utemiljö'!$C$11,A26))</f>
        <v>0</v>
      </c>
      <c r="K26" s="16">
        <f>IF('B Fasad och del av utemiljö'!$C$8+1&gt;A26,J26,0)</f>
        <v>0</v>
      </c>
      <c r="L26" s="16">
        <f>'B Fasad och del av utemiljö'!$C$44/(POWER(1+'B Fasad och del av utemiljö'!$C$11,A26))</f>
        <v>0</v>
      </c>
      <c r="M26" s="16">
        <f>IF('B Fasad och del av utemiljö'!$C$8+1&gt;A26,L26,0)</f>
        <v>0</v>
      </c>
      <c r="N26" s="16"/>
      <c r="O26">
        <v>23</v>
      </c>
      <c r="P26" s="16">
        <f t="shared" si="0"/>
        <v>0</v>
      </c>
      <c r="Q26" s="16">
        <f t="shared" si="1"/>
        <v>0</v>
      </c>
      <c r="R26" s="16"/>
      <c r="S26" s="16"/>
      <c r="T26" s="78">
        <f t="shared" si="2"/>
        <v>0</v>
      </c>
      <c r="U26" s="16">
        <f t="shared" si="3"/>
        <v>0</v>
      </c>
      <c r="Y26" s="16"/>
      <c r="Z26" s="16"/>
    </row>
    <row r="27" spans="1:26" x14ac:dyDescent="0.25">
      <c r="A27">
        <v>24</v>
      </c>
      <c r="B27" s="16">
        <f>('B Fasad och del av utemiljö'!$C$56*(1/(1+'B Fasad och del av utemiljö'!$C$11)^A27))*(('B Fasad och del av utemiljö'!$C$13+1)^NuvFasadUtemiljö!A27)</f>
        <v>18241.158017564565</v>
      </c>
      <c r="C27" s="16">
        <f>IF('B Fasad och del av utemiljö'!$C$8+1&gt;A27,B27,0)</f>
        <v>0</v>
      </c>
      <c r="D27" s="16">
        <f>('B Fasad och del av utemiljö'!$C$57*(1/(1+'B Fasad och del av utemiljö'!$C$11)^A27))*((1+'B Fasad och del av utemiljö'!$C$13)^NuvFasadUtemiljö!A27)</f>
        <v>48987.696513436618</v>
      </c>
      <c r="E27" s="16">
        <f>IF('B Fasad och del av utemiljö'!$C$8+1&gt;A27,D27,0)</f>
        <v>0</v>
      </c>
      <c r="F27" s="16"/>
      <c r="G27" s="16"/>
      <c r="H27" s="78">
        <f>IF(A27=('B Fasad och del av utemiljö'!$C$8+1),('B Fasad och del av utemiljö'!$C$49/'B Fasad och del av utemiljö'!$C$10)*('B Fasad och del av utemiljö'!$C$10-'B Fasad och del av utemiljö'!$C$8),0)</f>
        <v>0</v>
      </c>
      <c r="I27" s="78">
        <f>H27*(1/(1+'B Fasad och del av utemiljö'!$C$11)^A27)</f>
        <v>0</v>
      </c>
      <c r="J27" s="16">
        <f>'B Fasad och del av utemiljö'!$C$43/(POWER(1+'B Fasad och del av utemiljö'!$C$11,A27))</f>
        <v>0</v>
      </c>
      <c r="K27" s="16">
        <f>IF('B Fasad och del av utemiljö'!$C$8+1&gt;A27,J27,0)</f>
        <v>0</v>
      </c>
      <c r="L27" s="16">
        <f>'B Fasad och del av utemiljö'!$C$44/(POWER(1+'B Fasad och del av utemiljö'!$C$11,A27))</f>
        <v>0</v>
      </c>
      <c r="M27" s="16">
        <f>IF('B Fasad och del av utemiljö'!$C$8+1&gt;A27,L27,0)</f>
        <v>0</v>
      </c>
      <c r="N27" s="16"/>
      <c r="O27">
        <v>24</v>
      </c>
      <c r="P27" s="16">
        <f t="shared" si="0"/>
        <v>0</v>
      </c>
      <c r="Q27" s="16">
        <f t="shared" si="1"/>
        <v>0</v>
      </c>
      <c r="R27" s="16"/>
      <c r="S27" s="16"/>
      <c r="T27" s="78">
        <f t="shared" si="2"/>
        <v>0</v>
      </c>
      <c r="U27" s="16">
        <f t="shared" si="3"/>
        <v>0</v>
      </c>
      <c r="Y27" s="16"/>
      <c r="Z27" s="16"/>
    </row>
    <row r="28" spans="1:26" x14ac:dyDescent="0.25">
      <c r="A28">
        <v>25</v>
      </c>
      <c r="B28" s="16">
        <f>('B Fasad och del av utemiljö'!$C$56*(1/(1+'B Fasad och del av utemiljö'!$C$11)^A28))*(('B Fasad och del av utemiljö'!$C$13+1)^NuvFasadUtemiljö!A28)</f>
        <v>17826.986796875906</v>
      </c>
      <c r="C28" s="16">
        <f>IF('B Fasad och del av utemiljö'!$C$8+1&gt;A28,B28,0)</f>
        <v>0</v>
      </c>
      <c r="D28" s="16">
        <f>('B Fasad och del av utemiljö'!$C$57*(1/(1+'B Fasad och del av utemiljö'!$C$11)^A28))*((1+'B Fasad och del av utemiljö'!$C$13)^NuvFasadUtemiljö!A28)</f>
        <v>47875.415481489035</v>
      </c>
      <c r="E28" s="16">
        <f>IF('B Fasad och del av utemiljö'!$C$8+1&gt;A28,D28,0)</f>
        <v>0</v>
      </c>
      <c r="F28" s="16"/>
      <c r="G28" s="16"/>
      <c r="H28" s="78">
        <f>IF(A28=('B Fasad och del av utemiljö'!$C$8+1),('B Fasad och del av utemiljö'!$C$49/'B Fasad och del av utemiljö'!$C$10)*('B Fasad och del av utemiljö'!$C$10-'B Fasad och del av utemiljö'!$C$8),0)</f>
        <v>0</v>
      </c>
      <c r="I28" s="78">
        <f>H28*(1/(1+'B Fasad och del av utemiljö'!$C$11)^A28)</f>
        <v>0</v>
      </c>
      <c r="J28" s="16">
        <f>'B Fasad och del av utemiljö'!$C$43/(POWER(1+'B Fasad och del av utemiljö'!$C$11,A28))</f>
        <v>0</v>
      </c>
      <c r="K28" s="16">
        <f>IF('B Fasad och del av utemiljö'!$C$8+1&gt;A28,J28,0)</f>
        <v>0</v>
      </c>
      <c r="L28" s="16">
        <f>'B Fasad och del av utemiljö'!$C$44/(POWER(1+'B Fasad och del av utemiljö'!$C$11,A28))</f>
        <v>0</v>
      </c>
      <c r="M28" s="16">
        <f>IF('B Fasad och del av utemiljö'!$C$8+1&gt;A28,L28,0)</f>
        <v>0</v>
      </c>
      <c r="N28" s="16"/>
      <c r="O28">
        <v>25</v>
      </c>
      <c r="P28" s="16">
        <f t="shared" si="0"/>
        <v>0</v>
      </c>
      <c r="Q28" s="16">
        <f t="shared" si="1"/>
        <v>0</v>
      </c>
      <c r="R28" s="16"/>
      <c r="S28" s="16"/>
      <c r="T28" s="78">
        <f t="shared" si="2"/>
        <v>0</v>
      </c>
      <c r="U28" s="16">
        <f t="shared" si="3"/>
        <v>0</v>
      </c>
      <c r="Y28" s="16"/>
      <c r="Z28" s="16"/>
    </row>
    <row r="29" spans="1:26" x14ac:dyDescent="0.25">
      <c r="A29">
        <v>26</v>
      </c>
      <c r="B29" s="16">
        <f>('B Fasad och del av utemiljö'!$C$56*(1/(1+'B Fasad och del av utemiljö'!$C$11)^A29))*(('B Fasad och del av utemiljö'!$C$13+1)^NuvFasadUtemiljö!A29)</f>
        <v>17422.219463806745</v>
      </c>
      <c r="C29" s="16">
        <f>IF('B Fasad och del av utemiljö'!$C$8+1&gt;A29,B29,0)</f>
        <v>0</v>
      </c>
      <c r="D29" s="16">
        <f>('B Fasad och del av utemiljö'!$C$57*(1/(1+'B Fasad och del av utemiljö'!$C$11)^A29))*((1+'B Fasad och del av utemiljö'!$C$13)^NuvFasadUtemiljö!A29)</f>
        <v>46788.389139638799</v>
      </c>
      <c r="E29" s="16">
        <f>IF('B Fasad och del av utemiljö'!$C$8+1&gt;A29,D29,0)</f>
        <v>0</v>
      </c>
      <c r="F29" s="16"/>
      <c r="G29" s="16"/>
      <c r="H29" s="78">
        <f>IF(A29=('B Fasad och del av utemiljö'!$C$8+1),('B Fasad och del av utemiljö'!$C$49/'B Fasad och del av utemiljö'!$C$10)*('B Fasad och del av utemiljö'!$C$10-'B Fasad och del av utemiljö'!$C$8),0)</f>
        <v>0</v>
      </c>
      <c r="I29" s="78">
        <f>H29*(1/(1+'B Fasad och del av utemiljö'!$C$11)^A29)</f>
        <v>0</v>
      </c>
      <c r="J29" s="16">
        <f>'B Fasad och del av utemiljö'!$C$43/(POWER(1+'B Fasad och del av utemiljö'!$C$11,A29))</f>
        <v>0</v>
      </c>
      <c r="K29" s="16">
        <f>IF('B Fasad och del av utemiljö'!$C$8+1&gt;A29,J29,0)</f>
        <v>0</v>
      </c>
      <c r="L29" s="16">
        <f>'B Fasad och del av utemiljö'!$C$44/(POWER(1+'B Fasad och del av utemiljö'!$C$11,A29))</f>
        <v>0</v>
      </c>
      <c r="M29" s="16">
        <f>IF('B Fasad och del av utemiljö'!$C$8+1&gt;A29,L29,0)</f>
        <v>0</v>
      </c>
      <c r="N29" s="16"/>
      <c r="O29">
        <v>26</v>
      </c>
      <c r="P29" s="16">
        <f t="shared" si="0"/>
        <v>0</v>
      </c>
      <c r="Q29" s="16">
        <f t="shared" si="1"/>
        <v>0</v>
      </c>
      <c r="R29" s="16"/>
      <c r="S29" s="16"/>
      <c r="T29" s="78">
        <f t="shared" si="2"/>
        <v>0</v>
      </c>
      <c r="U29" s="16">
        <f t="shared" si="3"/>
        <v>0</v>
      </c>
      <c r="Y29" s="16"/>
      <c r="Z29" s="16"/>
    </row>
    <row r="30" spans="1:26" x14ac:dyDescent="0.25">
      <c r="A30">
        <v>27</v>
      </c>
      <c r="B30" s="16">
        <f>('B Fasad och del av utemiljö'!$C$56*(1/(1+'B Fasad och del av utemiljö'!$C$11)^A30))*(('B Fasad och del av utemiljö'!$C$13+1)^NuvFasadUtemiljö!A30)</f>
        <v>17026.642500135767</v>
      </c>
      <c r="C30" s="16">
        <f>IF('B Fasad och del av utemiljö'!$C$8+1&gt;A30,B30,0)</f>
        <v>0</v>
      </c>
      <c r="D30" s="16">
        <f>('B Fasad och del av utemiljö'!$C$57*(1/(1+'B Fasad och del av utemiljö'!$C$11)^A30))*((1+'B Fasad och del av utemiljö'!$C$13)^NuvFasadUtemiljö!A30)</f>
        <v>45726.044072217046</v>
      </c>
      <c r="E30" s="16">
        <f>IF('B Fasad och del av utemiljö'!$C$8+1&gt;A30,D30,0)</f>
        <v>0</v>
      </c>
      <c r="F30" s="16"/>
      <c r="G30" s="16"/>
      <c r="H30" s="78">
        <f>IF(A30=('B Fasad och del av utemiljö'!$C$8+1),('B Fasad och del av utemiljö'!$C$49/'B Fasad och del av utemiljö'!$C$10)*('B Fasad och del av utemiljö'!$C$10-'B Fasad och del av utemiljö'!$C$8),0)</f>
        <v>0</v>
      </c>
      <c r="I30" s="78">
        <f>H30*(1/(1+'B Fasad och del av utemiljö'!$C$11)^A30)</f>
        <v>0</v>
      </c>
      <c r="J30" s="16">
        <f>'B Fasad och del av utemiljö'!$C$43/(POWER(1+'B Fasad och del av utemiljö'!$C$11,A30))</f>
        <v>0</v>
      </c>
      <c r="K30" s="16">
        <f>IF('B Fasad och del av utemiljö'!$C$8+1&gt;A30,J30,0)</f>
        <v>0</v>
      </c>
      <c r="L30" s="16">
        <f>'B Fasad och del av utemiljö'!$C$44/(POWER(1+'B Fasad och del av utemiljö'!$C$11,A30))</f>
        <v>0</v>
      </c>
      <c r="M30" s="16">
        <f>IF('B Fasad och del av utemiljö'!$C$8+1&gt;A30,L30,0)</f>
        <v>0</v>
      </c>
      <c r="N30" s="16"/>
      <c r="O30">
        <v>27</v>
      </c>
      <c r="P30" s="16">
        <f t="shared" si="0"/>
        <v>0</v>
      </c>
      <c r="Q30" s="16">
        <f t="shared" si="1"/>
        <v>0</v>
      </c>
      <c r="R30" s="16"/>
      <c r="S30" s="16"/>
      <c r="T30" s="78">
        <f t="shared" si="2"/>
        <v>0</v>
      </c>
      <c r="U30" s="16">
        <f t="shared" si="3"/>
        <v>0</v>
      </c>
      <c r="Y30" s="16"/>
      <c r="Z30" s="16"/>
    </row>
    <row r="31" spans="1:26" x14ac:dyDescent="0.25">
      <c r="A31">
        <v>28</v>
      </c>
      <c r="B31" s="16">
        <f>('B Fasad och del av utemiljö'!$C$56*(1/(1+'B Fasad och del av utemiljö'!$C$11)^A31))*(('B Fasad och del av utemiljö'!$C$13+1)^NuvFasadUtemiljö!A31)</f>
        <v>16640.047235639933</v>
      </c>
      <c r="C31" s="16">
        <f>IF('B Fasad och del av utemiljö'!$C$8+1&gt;A31,B31,0)</f>
        <v>0</v>
      </c>
      <c r="D31" s="16">
        <f>('B Fasad och del av utemiljö'!$C$57*(1/(1+'B Fasad och del av utemiljö'!$C$11)^A31))*((1+'B Fasad och del av utemiljö'!$C$13)^NuvFasadUtemiljö!A31)</f>
        <v>44687.81988313773</v>
      </c>
      <c r="E31" s="16">
        <f>IF('B Fasad och del av utemiljö'!$C$8+1&gt;A31,D31,0)</f>
        <v>0</v>
      </c>
      <c r="F31" s="16"/>
      <c r="G31" s="16"/>
      <c r="H31" s="78">
        <f>IF(A31=('B Fasad och del av utemiljö'!$C$8+1),('B Fasad och del av utemiljö'!$C$49/'B Fasad och del av utemiljö'!$C$10)*('B Fasad och del av utemiljö'!$C$10-'B Fasad och del av utemiljö'!$C$8),0)</f>
        <v>0</v>
      </c>
      <c r="I31" s="78">
        <f>H31*(1/(1+'B Fasad och del av utemiljö'!$C$11)^A31)</f>
        <v>0</v>
      </c>
      <c r="J31" s="16">
        <f>'B Fasad och del av utemiljö'!$C$43/(POWER(1+'B Fasad och del av utemiljö'!$C$11,A31))</f>
        <v>0</v>
      </c>
      <c r="K31" s="16">
        <f>IF('B Fasad och del av utemiljö'!$C$8+1&gt;A31,J31,0)</f>
        <v>0</v>
      </c>
      <c r="L31" s="16">
        <f>'B Fasad och del av utemiljö'!$C$44/(POWER(1+'B Fasad och del av utemiljö'!$C$11,A31))</f>
        <v>0</v>
      </c>
      <c r="M31" s="16">
        <f>IF('B Fasad och del av utemiljö'!$C$8+1&gt;A31,L31,0)</f>
        <v>0</v>
      </c>
      <c r="N31" s="16"/>
      <c r="O31">
        <v>28</v>
      </c>
      <c r="P31" s="16">
        <f t="shared" si="0"/>
        <v>0</v>
      </c>
      <c r="Q31" s="16">
        <f t="shared" si="1"/>
        <v>0</v>
      </c>
      <c r="R31" s="16"/>
      <c r="S31" s="16"/>
      <c r="T31" s="78">
        <f t="shared" si="2"/>
        <v>0</v>
      </c>
      <c r="U31" s="16">
        <f t="shared" si="3"/>
        <v>0</v>
      </c>
      <c r="Y31" s="16"/>
      <c r="Z31" s="16"/>
    </row>
    <row r="32" spans="1:26" x14ac:dyDescent="0.25">
      <c r="A32">
        <v>29</v>
      </c>
      <c r="B32" s="16">
        <f>('B Fasad och del av utemiljö'!$C$56*(1/(1+'B Fasad och del av utemiljö'!$C$11)^A32))*(('B Fasad och del av utemiljö'!$C$13+1)^NuvFasadUtemiljö!A32)</f>
        <v>16262.22973801913</v>
      </c>
      <c r="C32" s="16">
        <f>IF('B Fasad och del av utemiljö'!$C$8+1&gt;A32,B32,0)</f>
        <v>0</v>
      </c>
      <c r="D32" s="16">
        <f>('B Fasad och del av utemiljö'!$C$57*(1/(1+'B Fasad och del av utemiljö'!$C$11)^A32))*((1+'B Fasad och del av utemiljö'!$C$13)^NuvFasadUtemiljö!A32)</f>
        <v>43673.16890028389</v>
      </c>
      <c r="E32" s="16">
        <f>IF('B Fasad och del av utemiljö'!$C$8+1&gt;A32,D32,0)</f>
        <v>0</v>
      </c>
      <c r="F32" s="16"/>
      <c r="G32" s="16"/>
      <c r="H32" s="78">
        <f>IF(A32=('B Fasad och del av utemiljö'!$C$8+1),('B Fasad och del av utemiljö'!$C$49/'B Fasad och del av utemiljö'!$C$10)*('B Fasad och del av utemiljö'!$C$10-'B Fasad och del av utemiljö'!$C$8),0)</f>
        <v>0</v>
      </c>
      <c r="I32" s="78">
        <f>H32*(1/(1+'B Fasad och del av utemiljö'!$C$11)^A32)</f>
        <v>0</v>
      </c>
      <c r="J32" s="16">
        <f>'B Fasad och del av utemiljö'!$C$43/(POWER(1+'B Fasad och del av utemiljö'!$C$11,A32))</f>
        <v>0</v>
      </c>
      <c r="K32" s="16">
        <f>IF('B Fasad och del av utemiljö'!$C$8+1&gt;A32,J32,0)</f>
        <v>0</v>
      </c>
      <c r="L32" s="16">
        <f>'B Fasad och del av utemiljö'!$C$44/(POWER(1+'B Fasad och del av utemiljö'!$C$11,A32))</f>
        <v>0</v>
      </c>
      <c r="M32" s="16">
        <f>IF('B Fasad och del av utemiljö'!$C$8+1&gt;A32,L32,0)</f>
        <v>0</v>
      </c>
      <c r="N32" s="16"/>
      <c r="O32">
        <v>29</v>
      </c>
      <c r="P32" s="16">
        <f t="shared" si="0"/>
        <v>0</v>
      </c>
      <c r="Q32" s="16">
        <f t="shared" si="1"/>
        <v>0</v>
      </c>
      <c r="R32" s="16"/>
      <c r="S32" s="16"/>
      <c r="T32" s="78">
        <f t="shared" si="2"/>
        <v>0</v>
      </c>
      <c r="U32" s="16">
        <f t="shared" si="3"/>
        <v>0</v>
      </c>
      <c r="Y32" s="16"/>
      <c r="Z32" s="16"/>
    </row>
    <row r="33" spans="1:26" x14ac:dyDescent="0.25">
      <c r="A33">
        <v>30</v>
      </c>
      <c r="B33" s="16">
        <f>('B Fasad och del av utemiljö'!$C$56*(1/(1+'B Fasad och del av utemiljö'!$C$11)^A33))*(('B Fasad och del av utemiljö'!$C$13+1)^NuvFasadUtemiljö!A33)</f>
        <v>15892.990705320142</v>
      </c>
      <c r="C33" s="16">
        <f>IF('B Fasad och del av utemiljö'!$C$8+1&gt;A33,B33,0)</f>
        <v>0</v>
      </c>
      <c r="D33" s="16">
        <f>('B Fasad och del av utemiljö'!$C$57*(1/(1+'B Fasad och del av utemiljö'!$C$11)^A33))*((1+'B Fasad och del av utemiljö'!$C$13)^NuvFasadUtemiljö!A33)</f>
        <v>42681.555886605944</v>
      </c>
      <c r="E33" s="16">
        <f>IF('B Fasad och del av utemiljö'!$C$8+1&gt;A33,D33,0)</f>
        <v>0</v>
      </c>
      <c r="F33" s="16"/>
      <c r="G33" s="16"/>
      <c r="H33" s="78">
        <f>IF(A33=('B Fasad och del av utemiljö'!$C$8+1),('B Fasad och del av utemiljö'!$C$49/'B Fasad och del av utemiljö'!$C$10)*('B Fasad och del av utemiljö'!$C$10-'B Fasad och del av utemiljö'!$C$8),0)</f>
        <v>0</v>
      </c>
      <c r="I33" s="78">
        <f>H33*(1/(1+'B Fasad och del av utemiljö'!$C$11)^A33)</f>
        <v>0</v>
      </c>
      <c r="J33" s="16">
        <f>'B Fasad och del av utemiljö'!$C$43/(POWER(1+'B Fasad och del av utemiljö'!$C$11,A33))</f>
        <v>0</v>
      </c>
      <c r="K33" s="16">
        <f>IF('B Fasad och del av utemiljö'!$C$8+1&gt;A33,J33,0)</f>
        <v>0</v>
      </c>
      <c r="L33" s="16">
        <f>'B Fasad och del av utemiljö'!$C$44/(POWER(1+'B Fasad och del av utemiljö'!$C$11,A33))</f>
        <v>0</v>
      </c>
      <c r="M33" s="16">
        <f>IF('B Fasad och del av utemiljö'!$C$8+1&gt;A33,L33,0)</f>
        <v>0</v>
      </c>
      <c r="N33" s="16"/>
      <c r="O33">
        <v>30</v>
      </c>
      <c r="P33" s="16">
        <f t="shared" si="0"/>
        <v>0</v>
      </c>
      <c r="Q33" s="16">
        <f t="shared" si="1"/>
        <v>0</v>
      </c>
      <c r="R33" s="16"/>
      <c r="S33" s="16"/>
      <c r="T33" s="78">
        <f t="shared" si="2"/>
        <v>0</v>
      </c>
      <c r="U33" s="16">
        <f t="shared" si="3"/>
        <v>0</v>
      </c>
      <c r="Y33" s="16"/>
      <c r="Z33" s="16"/>
    </row>
    <row r="34" spans="1:26" x14ac:dyDescent="0.25">
      <c r="A34">
        <v>31</v>
      </c>
      <c r="B34" s="16">
        <f>('B Fasad och del av utemiljö'!$C$56*(1/(1+'B Fasad och del av utemiljö'!$C$11)^A34))*(('B Fasad och del av utemiljö'!$C$13+1)^NuvFasadUtemiljö!A34)</f>
        <v>15532.135360803217</v>
      </c>
      <c r="C34" s="16">
        <f>IF('B Fasad och del av utemiljö'!$C$8+1&gt;A34,B34,0)</f>
        <v>0</v>
      </c>
      <c r="D34" s="16">
        <f>('B Fasad och del av utemiljö'!$C$57*(1/(1+'B Fasad och del av utemiljö'!$C$11)^A34))*((1+'B Fasad och del av utemiljö'!$C$13)^NuvFasadUtemiljö!A34)</f>
        <v>41712.457757779644</v>
      </c>
      <c r="E34" s="16">
        <f>IF('B Fasad och del av utemiljö'!$C$8+1&gt;A34,D34,0)</f>
        <v>0</v>
      </c>
      <c r="F34" s="16"/>
      <c r="G34" s="16"/>
      <c r="H34" s="78">
        <f>IF(A34=('B Fasad och del av utemiljö'!$C$8+1),('B Fasad och del av utemiljö'!$C$49/'B Fasad och del av utemiljö'!$C$10)*('B Fasad och del av utemiljö'!$C$10-'B Fasad och del av utemiljö'!$C$8),0)</f>
        <v>0</v>
      </c>
      <c r="I34" s="78">
        <f>H34*(1/(1+'B Fasad och del av utemiljö'!$C$11)^A34)</f>
        <v>0</v>
      </c>
      <c r="J34" s="16">
        <f>'B Fasad och del av utemiljö'!$C$43/(POWER(1+'B Fasad och del av utemiljö'!$C$11,A34))</f>
        <v>0</v>
      </c>
      <c r="K34" s="16">
        <f>IF('B Fasad och del av utemiljö'!$C$8+1&gt;A34,J34,0)</f>
        <v>0</v>
      </c>
      <c r="L34" s="16">
        <f>'B Fasad och del av utemiljö'!$C$44/(POWER(1+'B Fasad och del av utemiljö'!$C$11,A34))</f>
        <v>0</v>
      </c>
      <c r="M34" s="16">
        <f>IF('B Fasad och del av utemiljö'!$C$8+1&gt;A34,L34,0)</f>
        <v>0</v>
      </c>
      <c r="N34" s="16"/>
      <c r="O34" s="16"/>
      <c r="U34" s="16"/>
      <c r="Y34" s="16"/>
      <c r="Z34" s="16"/>
    </row>
    <row r="35" spans="1:26" x14ac:dyDescent="0.25">
      <c r="A35">
        <v>32</v>
      </c>
      <c r="B35" s="16">
        <f>('B Fasad och del av utemiljö'!$C$56*(1/(1+'B Fasad och del av utemiljö'!$C$11)^A35))*(('B Fasad och del av utemiljö'!$C$13+1)^NuvFasadUtemiljö!A35)</f>
        <v>15179.473350195613</v>
      </c>
      <c r="C35" s="16">
        <f>IF('B Fasad och del av utemiljö'!$C$8+1&gt;A35,B35,0)</f>
        <v>0</v>
      </c>
      <c r="D35" s="16">
        <f>('B Fasad och del av utemiljö'!$C$57*(1/(1+'B Fasad och del av utemiljö'!$C$11)^A35))*((1+'B Fasad och del av utemiljö'!$C$13)^NuvFasadUtemiljö!A35)</f>
        <v>40765.363306274521</v>
      </c>
      <c r="E35" s="16">
        <f>IF('B Fasad och del av utemiljö'!$C$8+1&gt;A35,D35,0)</f>
        <v>0</v>
      </c>
      <c r="F35" s="16"/>
      <c r="G35" s="16"/>
      <c r="H35" s="78">
        <f>IF(A35=('B Fasad och del av utemiljö'!$C$8+1),('B Fasad och del av utemiljö'!$C$49/'B Fasad och del av utemiljö'!$C$10)*('B Fasad och del av utemiljö'!$C$10-'B Fasad och del av utemiljö'!$C$8),0)</f>
        <v>0</v>
      </c>
      <c r="I35" s="78">
        <f>H35*(1/(1+'B Fasad och del av utemiljö'!$C$11)^A35)</f>
        <v>0</v>
      </c>
      <c r="J35" s="16">
        <f>'B Fasad och del av utemiljö'!$C$43/(POWER(1+'B Fasad och del av utemiljö'!$C$11,A35))</f>
        <v>0</v>
      </c>
      <c r="K35" s="16">
        <f>IF('B Fasad och del av utemiljö'!$C$8+1&gt;A35,J35,0)</f>
        <v>0</v>
      </c>
      <c r="L35" s="16">
        <f>'B Fasad och del av utemiljö'!$C$44/(POWER(1+'B Fasad och del av utemiljö'!$C$11,A35))</f>
        <v>0</v>
      </c>
      <c r="M35" s="16">
        <f>IF('B Fasad och del av utemiljö'!$C$8+1&gt;A35,L35,0)</f>
        <v>0</v>
      </c>
      <c r="N35" s="16"/>
      <c r="O35" s="78" t="s">
        <v>155</v>
      </c>
      <c r="P35" s="16">
        <f t="shared" ref="P35:U35" si="4">SUM(P3:P34)</f>
        <v>501810.1919023419</v>
      </c>
      <c r="Q35" s="16">
        <f t="shared" si="4"/>
        <v>1347640.6138574423</v>
      </c>
      <c r="R35" s="16">
        <f t="shared" si="4"/>
        <v>0</v>
      </c>
      <c r="S35" s="16">
        <f t="shared" si="4"/>
        <v>0</v>
      </c>
      <c r="T35" s="16">
        <f t="shared" si="4"/>
        <v>155382.68890641027</v>
      </c>
      <c r="U35" s="16">
        <f t="shared" si="4"/>
        <v>0</v>
      </c>
      <c r="Y35" s="16"/>
      <c r="Z35" s="16"/>
    </row>
    <row r="36" spans="1:26" x14ac:dyDescent="0.25">
      <c r="A36">
        <v>33</v>
      </c>
      <c r="B36" s="16">
        <f>('B Fasad och del av utemiljö'!$C$56*(1/(1+'B Fasad och del av utemiljö'!$C$11)^A36))*(('B Fasad och del av utemiljö'!$C$13+1)^NuvFasadUtemiljö!A36)</f>
        <v>14834.818641278131</v>
      </c>
      <c r="C36" s="16">
        <f>IF('B Fasad och del av utemiljö'!$C$8+1&gt;A36,B36,0)</f>
        <v>0</v>
      </c>
      <c r="D36" s="16">
        <f>('B Fasad och del av utemiljö'!$C$57*(1/(1+'B Fasad och del av utemiljö'!$C$11)^A36))*((1+'B Fasad och del av utemiljö'!$C$13)^NuvFasadUtemiljö!A36)</f>
        <v>39839.772931687614</v>
      </c>
      <c r="E36" s="16">
        <f>IF('B Fasad och del av utemiljö'!$C$8+1&gt;A36,D36,0)</f>
        <v>0</v>
      </c>
      <c r="F36" s="16"/>
      <c r="G36" s="16"/>
      <c r="H36" s="78">
        <f>IF(A36=('B Fasad och del av utemiljö'!$C$8+1),('B Fasad och del av utemiljö'!$C$49/'B Fasad och del av utemiljö'!$C$10)*('B Fasad och del av utemiljö'!$C$10-'B Fasad och del av utemiljö'!$C$8),0)</f>
        <v>0</v>
      </c>
      <c r="I36" s="78">
        <f>H36*(1/(1+'B Fasad och del av utemiljö'!$C$11)^A36)</f>
        <v>0</v>
      </c>
      <c r="J36" s="16">
        <f>'B Fasad och del av utemiljö'!$C$43/(POWER(1+'B Fasad och del av utemiljö'!$C$11,A36))</f>
        <v>0</v>
      </c>
      <c r="K36" s="16">
        <f>IF('B Fasad och del av utemiljö'!$C$8+1&gt;A36,J36,0)</f>
        <v>0</v>
      </c>
      <c r="L36" s="16">
        <f>'B Fasad och del av utemiljö'!$C$44/(POWER(1+'B Fasad och del av utemiljö'!$C$11,A36))</f>
        <v>0</v>
      </c>
      <c r="M36" s="16">
        <f>IF('B Fasad och del av utemiljö'!$C$8+1&gt;A36,L36,0)</f>
        <v>0</v>
      </c>
      <c r="N36" s="16"/>
      <c r="O36" s="16"/>
      <c r="Y36" s="16"/>
      <c r="Z36" s="16"/>
    </row>
    <row r="37" spans="1:26" x14ac:dyDescent="0.25">
      <c r="A37">
        <v>34</v>
      </c>
      <c r="B37" s="16">
        <f>('B Fasad och del av utemiljö'!$C$56*(1/(1+'B Fasad och del av utemiljö'!$C$11)^A37))*(('B Fasad och del av utemiljö'!$C$13+1)^NuvFasadUtemiljö!A37)</f>
        <v>14497.989425751528</v>
      </c>
      <c r="C37" s="16">
        <f>IF('B Fasad och del av utemiljö'!$C$8+1&gt;A37,B37,0)</f>
        <v>0</v>
      </c>
      <c r="D37" s="16">
        <f>('B Fasad och del av utemiljö'!$C$57*(1/(1+'B Fasad och del av utemiljö'!$C$11)^A37))*((1+'B Fasad och del av utemiljö'!$C$13)^NuvFasadUtemiljö!A37)</f>
        <v>38935.198377200024</v>
      </c>
      <c r="E37" s="16">
        <f>IF('B Fasad och del av utemiljö'!$C$8+1&gt;A37,D37,0)</f>
        <v>0</v>
      </c>
      <c r="F37" s="16"/>
      <c r="G37" s="16"/>
      <c r="H37" s="78">
        <f>IF(A37=('B Fasad och del av utemiljö'!$C$8+1),('B Fasad och del av utemiljö'!$C$49/'B Fasad och del av utemiljö'!$C$10)*('B Fasad och del av utemiljö'!$C$10-'B Fasad och del av utemiljö'!$C$8),0)</f>
        <v>0</v>
      </c>
      <c r="I37" s="78">
        <f>H37*(1/(1+'B Fasad och del av utemiljö'!$C$11)^A37)</f>
        <v>0</v>
      </c>
      <c r="J37" s="16">
        <f>'B Fasad och del av utemiljö'!$C$43/(POWER(1+'B Fasad och del av utemiljö'!$C$11,A37))</f>
        <v>0</v>
      </c>
      <c r="K37" s="16">
        <f>IF('B Fasad och del av utemiljö'!$C$8+1&gt;A37,J37,0)</f>
        <v>0</v>
      </c>
      <c r="L37" s="16">
        <f>'B Fasad och del av utemiljö'!$C$44/(POWER(1+'B Fasad och del av utemiljö'!$C$11,A37))</f>
        <v>0</v>
      </c>
      <c r="M37" s="16">
        <f>IF('B Fasad och del av utemiljö'!$C$8+1&gt;A37,L37,0)</f>
        <v>0</v>
      </c>
      <c r="N37" s="16"/>
      <c r="O37" s="16"/>
      <c r="Y37" s="16"/>
      <c r="Z37" s="16"/>
    </row>
    <row r="38" spans="1:26" x14ac:dyDescent="0.25">
      <c r="A38">
        <v>35</v>
      </c>
      <c r="B38" s="16">
        <f>('B Fasad och del av utemiljö'!$C$56*(1/(1+'B Fasad och del av utemiljö'!$C$11)^A38))*(('B Fasad och del av utemiljö'!$C$13+1)^NuvFasadUtemiljö!A38)</f>
        <v>14168.808023331085</v>
      </c>
      <c r="C38" s="16">
        <f>IF('B Fasad och del av utemiljö'!$C$8+1&gt;A38,B38,0)</f>
        <v>0</v>
      </c>
      <c r="D38" s="16">
        <f>('B Fasad och del av utemiljö'!$C$57*(1/(1+'B Fasad och del av utemiljö'!$C$11)^A38))*((1+'B Fasad och del av utemiljö'!$C$13)^NuvFasadUtemiljö!A38)</f>
        <v>38051.162472017226</v>
      </c>
      <c r="E38" s="16">
        <f>IF('B Fasad och del av utemiljö'!$C$8+1&gt;A38,D38,0)</f>
        <v>0</v>
      </c>
      <c r="F38" s="16"/>
      <c r="G38" s="16"/>
      <c r="H38" s="78">
        <f>IF(A38=('B Fasad och del av utemiljö'!$C$8+1),('B Fasad och del av utemiljö'!$C$49/'B Fasad och del av utemiljö'!$C$10)*('B Fasad och del av utemiljö'!$C$10-'B Fasad och del av utemiljö'!$C$8),0)</f>
        <v>0</v>
      </c>
      <c r="I38" s="78">
        <f>H38*(1/(1+'B Fasad och del av utemiljö'!$C$11)^A38)</f>
        <v>0</v>
      </c>
      <c r="J38" s="16">
        <f>'B Fasad och del av utemiljö'!$C$43/(POWER(1+'B Fasad och del av utemiljö'!$C$11,A38))</f>
        <v>0</v>
      </c>
      <c r="K38" s="16">
        <f>IF('B Fasad och del av utemiljö'!$C$8+1&gt;A38,J38,0)</f>
        <v>0</v>
      </c>
      <c r="L38" s="16">
        <f>'B Fasad och del av utemiljö'!$C$44/(POWER(1+'B Fasad och del av utemiljö'!$C$11,A38))</f>
        <v>0</v>
      </c>
      <c r="M38" s="16">
        <f>IF('B Fasad och del av utemiljö'!$C$8+1&gt;A38,L38,0)</f>
        <v>0</v>
      </c>
      <c r="N38" s="16"/>
      <c r="O38" s="16"/>
      <c r="Y38" s="16"/>
      <c r="Z38" s="16"/>
    </row>
    <row r="39" spans="1:26" x14ac:dyDescent="0.25">
      <c r="A39">
        <v>36</v>
      </c>
      <c r="B39" s="16">
        <f>('B Fasad och del av utemiljö'!$C$56*(1/(1+'B Fasad och del av utemiljö'!$C$11)^A39))*(('B Fasad och del av utemiljö'!$C$13+1)^NuvFasadUtemiljö!A39)</f>
        <v>13847.100788018739</v>
      </c>
      <c r="C39" s="16">
        <f>IF('B Fasad och del av utemiljö'!$C$8+1&gt;A39,B39,0)</f>
        <v>0</v>
      </c>
      <c r="D39" s="16">
        <f>('B Fasad och del av utemiljö'!$C$57*(1/(1+'B Fasad och del av utemiljö'!$C$11)^A39))*((1+'B Fasad och del av utemiljö'!$C$13)^NuvFasadUtemiljö!A39)</f>
        <v>37187.198879657422</v>
      </c>
      <c r="E39" s="16">
        <f>IF('B Fasad och del av utemiljö'!$C$8+1&gt;A39,D39,0)</f>
        <v>0</v>
      </c>
      <c r="F39" s="16"/>
      <c r="G39" s="16"/>
      <c r="H39" s="78">
        <f>IF(A39=('B Fasad och del av utemiljö'!$C$8+1),('B Fasad och del av utemiljö'!$C$49/'B Fasad och del av utemiljö'!$C$10)*('B Fasad och del av utemiljö'!$C$10-'B Fasad och del av utemiljö'!$C$8),0)</f>
        <v>0</v>
      </c>
      <c r="I39" s="78">
        <f>H39*(1/(1+'B Fasad och del av utemiljö'!$C$11)^A39)</f>
        <v>0</v>
      </c>
      <c r="J39" s="16">
        <f>'B Fasad och del av utemiljö'!$C$43/(POWER(1+'B Fasad och del av utemiljö'!$C$11,A39))</f>
        <v>0</v>
      </c>
      <c r="K39" s="16">
        <f>IF('B Fasad och del av utemiljö'!$C$8+1&gt;A39,J39,0)</f>
        <v>0</v>
      </c>
      <c r="L39" s="16">
        <f>'B Fasad och del av utemiljö'!$C$44/(POWER(1+'B Fasad och del av utemiljö'!$C$11,A39))</f>
        <v>0</v>
      </c>
      <c r="M39" s="16">
        <f>IF('B Fasad och del av utemiljö'!$C$8+1&gt;A39,L39,0)</f>
        <v>0</v>
      </c>
      <c r="N39" s="16"/>
      <c r="O39" s="16"/>
      <c r="Y39" s="16"/>
      <c r="Z39" s="16"/>
    </row>
    <row r="40" spans="1:26" x14ac:dyDescent="0.25">
      <c r="A40">
        <v>37</v>
      </c>
      <c r="B40" s="16">
        <f>('B Fasad och del av utemiljö'!$C$56*(1/(1+'B Fasad och del av utemiljö'!$C$11)^A40))*(('B Fasad och del av utemiljö'!$C$13+1)^NuvFasadUtemiljö!A40)</f>
        <v>13532.698016503338</v>
      </c>
      <c r="C40" s="16">
        <f>IF('B Fasad och del av utemiljö'!$C$8+1&gt;A40,B40,0)</f>
        <v>0</v>
      </c>
      <c r="D40" s="16">
        <f>('B Fasad och del av utemiljö'!$C$57*(1/(1+'B Fasad och del av utemiljö'!$C$11)^A40))*((1+'B Fasad och del av utemiljö'!$C$13)^NuvFasadUtemiljö!A40)</f>
        <v>36342.851851955063</v>
      </c>
      <c r="E40" s="16">
        <f>IF('B Fasad och del av utemiljö'!$C$8+1&gt;A40,D40,0)</f>
        <v>0</v>
      </c>
      <c r="F40" s="16"/>
      <c r="G40" s="16"/>
      <c r="H40" s="78">
        <f>IF(A40=('B Fasad och del av utemiljö'!$C$8+1),('B Fasad och del av utemiljö'!$C$49/'B Fasad och del av utemiljö'!$C$10)*('B Fasad och del av utemiljö'!$C$10-'B Fasad och del av utemiljö'!$C$8),0)</f>
        <v>0</v>
      </c>
      <c r="I40" s="78">
        <f>H40*(1/(1+'B Fasad och del av utemiljö'!$C$11)^A40)</f>
        <v>0</v>
      </c>
      <c r="J40" s="16">
        <f>'B Fasad och del av utemiljö'!$C$43/(POWER(1+'B Fasad och del av utemiljö'!$C$11,A40))</f>
        <v>0</v>
      </c>
      <c r="K40" s="16">
        <f>IF('B Fasad och del av utemiljö'!$C$8+1&gt;A40,J40,0)</f>
        <v>0</v>
      </c>
      <c r="L40" s="16">
        <f>'B Fasad och del av utemiljö'!$C$44/(POWER(1+'B Fasad och del av utemiljö'!$C$11,A40))</f>
        <v>0</v>
      </c>
      <c r="M40" s="16">
        <f>IF('B Fasad och del av utemiljö'!$C$8+1&gt;A40,L40,0)</f>
        <v>0</v>
      </c>
      <c r="N40" s="16"/>
      <c r="O40" s="16"/>
      <c r="Y40" s="16"/>
      <c r="Z40" s="16"/>
    </row>
    <row r="41" spans="1:26" x14ac:dyDescent="0.25">
      <c r="A41">
        <v>38</v>
      </c>
      <c r="B41" s="16">
        <f>('B Fasad och del av utemiljö'!$C$56*(1/(1+'B Fasad och del av utemiljö'!$C$11)^A41))*(('B Fasad och del av utemiljö'!$C$13+1)^NuvFasadUtemiljö!A41)</f>
        <v>13225.433858640703</v>
      </c>
      <c r="C41" s="16">
        <f>IF('B Fasad och del av utemiljö'!$C$8+1&gt;A41,B41,0)</f>
        <v>0</v>
      </c>
      <c r="D41" s="16">
        <f>('B Fasad och del av utemiljö'!$C$57*(1/(1+'B Fasad och del av utemiljö'!$C$11)^A41))*((1+'B Fasad och del av utemiljö'!$C$13)^NuvFasadUtemiljö!A41)</f>
        <v>35517.675988649797</v>
      </c>
      <c r="E41" s="16">
        <f>IF('B Fasad och del av utemiljö'!$C$8+1&gt;A41,D41,0)</f>
        <v>0</v>
      </c>
      <c r="F41" s="16"/>
      <c r="G41" s="16"/>
      <c r="H41" s="78">
        <f>IF(A41=('B Fasad och del av utemiljö'!$C$8+1),('B Fasad och del av utemiljö'!$C$49/'B Fasad och del av utemiljö'!$C$10)*('B Fasad och del av utemiljö'!$C$10-'B Fasad och del av utemiljö'!$C$8),0)</f>
        <v>0</v>
      </c>
      <c r="I41" s="78">
        <f>H41*(1/(1+'B Fasad och del av utemiljö'!$C$11)^A41)</f>
        <v>0</v>
      </c>
      <c r="J41" s="16">
        <f>'B Fasad och del av utemiljö'!$C$43/(POWER(1+'B Fasad och del av utemiljö'!$C$11,A41))</f>
        <v>0</v>
      </c>
      <c r="K41" s="16">
        <f>IF('B Fasad och del av utemiljö'!$C$8+1&gt;A41,J41,0)</f>
        <v>0</v>
      </c>
      <c r="L41" s="16">
        <f>'B Fasad och del av utemiljö'!$C$44/(POWER(1+'B Fasad och del av utemiljö'!$C$11,A41))</f>
        <v>0</v>
      </c>
      <c r="M41" s="16">
        <f>IF('B Fasad och del av utemiljö'!$C$8+1&gt;A41,L41,0)</f>
        <v>0</v>
      </c>
      <c r="N41" s="16"/>
      <c r="O41" s="16"/>
      <c r="Y41" s="16"/>
      <c r="Z41" s="16"/>
    </row>
    <row r="42" spans="1:26" x14ac:dyDescent="0.25">
      <c r="A42">
        <v>39</v>
      </c>
      <c r="B42" s="16">
        <f>('B Fasad och del av utemiljö'!$C$56*(1/(1+'B Fasad och del av utemiljö'!$C$11)^A42))*(('B Fasad och del av utemiljö'!$C$13+1)^NuvFasadUtemiljö!A42)</f>
        <v>12925.146229966258</v>
      </c>
      <c r="C42" s="16">
        <f>IF('B Fasad och del av utemiljö'!$C$8+1&gt;A42,B42,0)</f>
        <v>0</v>
      </c>
      <c r="D42" s="16">
        <f>('B Fasad och del av utemiljö'!$C$57*(1/(1+'B Fasad och del av utemiljö'!$C$11)^A42))*((1+'B Fasad och del av utemiljö'!$C$13)^NuvFasadUtemiljö!A42)</f>
        <v>34711.236002434096</v>
      </c>
      <c r="E42" s="16">
        <f>IF('B Fasad och del av utemiljö'!$C$8+1&gt;A42,D42,0)</f>
        <v>0</v>
      </c>
      <c r="F42" s="16"/>
      <c r="G42" s="16"/>
      <c r="H42" s="78">
        <f>IF(A42=('B Fasad och del av utemiljö'!$C$8+1),('B Fasad och del av utemiljö'!$C$49/'B Fasad och del av utemiljö'!$C$10)*('B Fasad och del av utemiljö'!$C$10-'B Fasad och del av utemiljö'!$C$8),0)</f>
        <v>0</v>
      </c>
      <c r="I42" s="78">
        <f>H42*(1/(1+'B Fasad och del av utemiljö'!$C$11)^A42)</f>
        <v>0</v>
      </c>
      <c r="J42" s="16">
        <f>'B Fasad och del av utemiljö'!$C$43/(POWER(1+'B Fasad och del av utemiljö'!$C$11,A42))</f>
        <v>0</v>
      </c>
      <c r="K42" s="16">
        <f>IF('B Fasad och del av utemiljö'!$C$8+1&gt;A42,J42,0)</f>
        <v>0</v>
      </c>
      <c r="L42" s="16">
        <f>'B Fasad och del av utemiljö'!$C$44/(POWER(1+'B Fasad och del av utemiljö'!$C$11,A42))</f>
        <v>0</v>
      </c>
      <c r="M42" s="16">
        <f>IF('B Fasad och del av utemiljö'!$C$8+1&gt;A42,L42,0)</f>
        <v>0</v>
      </c>
      <c r="N42" s="16"/>
      <c r="O42" s="16"/>
      <c r="Y42" s="16"/>
      <c r="Z42" s="16"/>
    </row>
    <row r="43" spans="1:26" x14ac:dyDescent="0.25">
      <c r="A43">
        <v>40</v>
      </c>
      <c r="B43" s="16">
        <f>('B Fasad och del av utemiljö'!$C$56*(1/(1+'B Fasad och del av utemiljö'!$C$11)^A43))*(('B Fasad och del av utemiljö'!$C$13+1)^NuvFasadUtemiljö!A43)</f>
        <v>12631.67672619408</v>
      </c>
      <c r="C43" s="16">
        <f>IF('B Fasad och del av utemiljö'!$C$8+1&gt;A43,B43,0)</f>
        <v>0</v>
      </c>
      <c r="D43" s="16">
        <f>('B Fasad och del av utemiljö'!$C$57*(1/(1+'B Fasad och del av utemiljö'!$C$11)^A43))*((1+'B Fasad och del av utemiljö'!$C$13)^NuvFasadUtemiljö!A43)</f>
        <v>33923.106489335361</v>
      </c>
      <c r="E43" s="16">
        <f>IF('B Fasad och del av utemiljö'!$C$8+1&gt;A43,D43,0)</f>
        <v>0</v>
      </c>
      <c r="F43" s="16"/>
      <c r="G43" s="16"/>
      <c r="H43" s="78">
        <f>IF(A43=('B Fasad och del av utemiljö'!$C$8+1),('B Fasad och del av utemiljö'!$C$49/'B Fasad och del av utemiljö'!$C$10)*('B Fasad och del av utemiljö'!$C$10-'B Fasad och del av utemiljö'!$C$8),0)</f>
        <v>0</v>
      </c>
      <c r="I43" s="78">
        <f>H43*(1/(1+'B Fasad och del av utemiljö'!$C$11)^A43)</f>
        <v>0</v>
      </c>
      <c r="J43" s="16">
        <f>'B Fasad och del av utemiljö'!$C$43/(POWER(1+'B Fasad och del av utemiljö'!$C$11,A43))</f>
        <v>0</v>
      </c>
      <c r="K43" s="16">
        <f>IF('B Fasad och del av utemiljö'!$C$8+1&gt;A43,J43,0)</f>
        <v>0</v>
      </c>
      <c r="L43" s="16">
        <f>'B Fasad och del av utemiljö'!$C$44/(POWER(1+'B Fasad och del av utemiljö'!$C$11,A43))</f>
        <v>0</v>
      </c>
      <c r="M43" s="16">
        <f>IF('B Fasad och del av utemiljö'!$C$8+1&gt;A43,L43,0)</f>
        <v>0</v>
      </c>
      <c r="N43" s="16"/>
      <c r="O43" s="16"/>
      <c r="Y43" s="16"/>
      <c r="Z43" s="16"/>
    </row>
    <row r="44" spans="1:26" x14ac:dyDescent="0.25">
      <c r="A44">
        <v>41</v>
      </c>
      <c r="B44" s="16">
        <f>('B Fasad och del av utemiljö'!$C$56*(1/(1+'B Fasad och del av utemiljö'!$C$11)^A44))*(('B Fasad och del av utemiljö'!$C$13+1)^40)</f>
        <v>12204.51857603293</v>
      </c>
      <c r="C44" s="16">
        <f>IF('B Fasad och del av utemiljö'!$C$8+1&gt;A44,B44,0)</f>
        <v>0</v>
      </c>
      <c r="D44" s="16">
        <f>('B Fasad och del av utemiljö'!$C$57*(1/(1+'B Fasad och del av utemiljö'!$C$11)^A44))*((1+'B Fasad och del av utemiljö'!$C$13)^40)</f>
        <v>32775.948298874748</v>
      </c>
      <c r="E44" s="16">
        <f>IF('B Fasad och del av utemiljö'!$C$8+1&gt;A44,D44,0)</f>
        <v>0</v>
      </c>
      <c r="F44" s="16"/>
      <c r="G44" s="16"/>
      <c r="H44" s="78">
        <f>IF(A44=('B Fasad och del av utemiljö'!$C$8+1),('B Fasad och del av utemiljö'!$C$49/'B Fasad och del av utemiljö'!$C$10)*('B Fasad och del av utemiljö'!$C$10-'B Fasad och del av utemiljö'!$C$8),0)</f>
        <v>0</v>
      </c>
      <c r="I44" s="78">
        <f>H44*(1/(1+'B Fasad och del av utemiljö'!$C$11)^A44)</f>
        <v>0</v>
      </c>
      <c r="J44" s="16">
        <f>'B Fasad och del av utemiljö'!$C$43/(POWER(1+'B Fasad och del av utemiljö'!$C$11,A44))</f>
        <v>0</v>
      </c>
      <c r="K44" s="16">
        <f>IF('B Fasad och del av utemiljö'!$C$8+1&gt;A44,J44,0)</f>
        <v>0</v>
      </c>
      <c r="L44" s="16">
        <f>'B Fasad och del av utemiljö'!$C$44/(POWER(1+'B Fasad och del av utemiljö'!$C$11,A44))</f>
        <v>0</v>
      </c>
      <c r="M44" s="16">
        <f>IF('B Fasad och del av utemiljö'!$C$8+1&gt;A44,L44,0)</f>
        <v>0</v>
      </c>
      <c r="N44" s="16"/>
      <c r="O44" s="16"/>
      <c r="Y44" s="16"/>
      <c r="Z44" s="16"/>
    </row>
    <row r="45" spans="1:26" x14ac:dyDescent="0.25">
      <c r="A45">
        <v>42</v>
      </c>
      <c r="B45" s="16">
        <f>('B Fasad och del av utemiljö'!$C$56*(1/(1+'B Fasad och del av utemiljö'!$C$11)^A45))*(('B Fasad och del av utemiljö'!$C$13+1)^40)</f>
        <v>11791.80538747143</v>
      </c>
      <c r="C45" s="16">
        <f>IF('B Fasad och del av utemiljö'!$C$8+1&gt;A45,B45,0)</f>
        <v>0</v>
      </c>
      <c r="D45" s="16">
        <f>('B Fasad och del av utemiljö'!$C$57*(1/(1+'B Fasad och del av utemiljö'!$C$11)^A45))*((1+'B Fasad och del av utemiljö'!$C$13)^40)</f>
        <v>31667.582897463522</v>
      </c>
      <c r="E45" s="16">
        <f>IF('B Fasad och del av utemiljö'!$C$8+1&gt;A45,D45,0)</f>
        <v>0</v>
      </c>
      <c r="F45" s="16"/>
      <c r="G45" s="16"/>
      <c r="H45" s="78">
        <f>IF(A45=('B Fasad och del av utemiljö'!$C$8+1),('B Fasad och del av utemiljö'!$C$49/'B Fasad och del av utemiljö'!$C$10)*('B Fasad och del av utemiljö'!$C$10-'B Fasad och del av utemiljö'!$C$8),0)</f>
        <v>0</v>
      </c>
      <c r="I45" s="78">
        <f>H45*(1/(1+'B Fasad och del av utemiljö'!$C$11)^A45)</f>
        <v>0</v>
      </c>
      <c r="J45" s="16">
        <f>'B Fasad och del av utemiljö'!$C$43/(POWER(1+'B Fasad och del av utemiljö'!$C$11,A45))</f>
        <v>0</v>
      </c>
      <c r="K45" s="16">
        <f>IF('B Fasad och del av utemiljö'!$C$8+1&gt;A45,J45,0)</f>
        <v>0</v>
      </c>
      <c r="L45" s="16">
        <f>'B Fasad och del av utemiljö'!$C$44/(POWER(1+'B Fasad och del av utemiljö'!$C$11,A45))</f>
        <v>0</v>
      </c>
      <c r="M45" s="16">
        <f>IF('B Fasad och del av utemiljö'!$C$8+1&gt;A45,L45,0)</f>
        <v>0</v>
      </c>
      <c r="N45" s="16"/>
      <c r="O45" s="16"/>
      <c r="Y45" s="16"/>
      <c r="Z45" s="16"/>
    </row>
    <row r="46" spans="1:26" x14ac:dyDescent="0.25">
      <c r="A46">
        <v>43</v>
      </c>
      <c r="B46" s="16">
        <f>('B Fasad och del av utemiljö'!$C$56*(1/(1+'B Fasad och del av utemiljö'!$C$11)^A46))*(('B Fasad och del av utemiljö'!$C$13+1)^40)</f>
        <v>11393.048683547273</v>
      </c>
      <c r="C46" s="16">
        <f>IF('B Fasad och del av utemiljö'!$C$8+1&gt;A46,B46,0)</f>
        <v>0</v>
      </c>
      <c r="D46" s="16">
        <f>('B Fasad och del av utemiljö'!$C$57*(1/(1+'B Fasad och del av utemiljö'!$C$11)^A46))*((1+'B Fasad och del av utemiljö'!$C$13)^40)</f>
        <v>30596.698451655575</v>
      </c>
      <c r="E46" s="16">
        <f>IF('B Fasad och del av utemiljö'!$C$8+1&gt;A46,D46,0)</f>
        <v>0</v>
      </c>
      <c r="F46" s="16"/>
      <c r="G46" s="16"/>
      <c r="H46" s="78">
        <f>IF(A46=('B Fasad och del av utemiljö'!$C$8+1),('B Fasad och del av utemiljö'!$C$49/'B Fasad och del av utemiljö'!$C$10)*('B Fasad och del av utemiljö'!$C$10-'B Fasad och del av utemiljö'!$C$8),0)</f>
        <v>0</v>
      </c>
      <c r="I46" s="78">
        <f>H46*(1/(1+'B Fasad och del av utemiljö'!$C$11)^A46)</f>
        <v>0</v>
      </c>
      <c r="J46" s="16">
        <f>'B Fasad och del av utemiljö'!$C$43/(POWER(1+'B Fasad och del av utemiljö'!$C$11,A46))</f>
        <v>0</v>
      </c>
      <c r="K46" s="16">
        <f>IF('B Fasad och del av utemiljö'!$C$8+1&gt;A46,J46,0)</f>
        <v>0</v>
      </c>
      <c r="L46" s="16">
        <f>'B Fasad och del av utemiljö'!$C$44/(POWER(1+'B Fasad och del av utemiljö'!$C$11,A46))</f>
        <v>0</v>
      </c>
      <c r="M46" s="16">
        <f>IF('B Fasad och del av utemiljö'!$C$8+1&gt;A46,L46,0)</f>
        <v>0</v>
      </c>
      <c r="N46" s="16"/>
      <c r="O46" s="16"/>
      <c r="Y46" s="16"/>
      <c r="Z46" s="16"/>
    </row>
    <row r="47" spans="1:26" x14ac:dyDescent="0.25">
      <c r="A47">
        <v>44</v>
      </c>
      <c r="B47" s="16">
        <f>('B Fasad och del av utemiljö'!$C$56*(1/(1+'B Fasad och del av utemiljö'!$C$11)^A47))*(('B Fasad och del av utemiljö'!$C$13+1)^40)</f>
        <v>11007.776505842779</v>
      </c>
      <c r="C47" s="16">
        <f>IF('B Fasad och del av utemiljö'!$C$8+1&gt;A47,B47,0)</f>
        <v>0</v>
      </c>
      <c r="D47" s="16">
        <f>('B Fasad och del av utemiljö'!$C$57*(1/(1+'B Fasad och del av utemiljö'!$C$11)^A47))*((1+'B Fasad och del av utemiljö'!$C$13)^40)</f>
        <v>29562.027489522301</v>
      </c>
      <c r="E47" s="16">
        <f>IF('B Fasad och del av utemiljö'!$C$8+1&gt;A47,D47,0)</f>
        <v>0</v>
      </c>
      <c r="F47" s="16"/>
      <c r="G47" s="16"/>
      <c r="H47" s="78">
        <f>IF(A47=('B Fasad och del av utemiljö'!$C$8+1),('B Fasad och del av utemiljö'!$C$49/'B Fasad och del av utemiljö'!$C$10)*('B Fasad och del av utemiljö'!$C$10-'B Fasad och del av utemiljö'!$C$8),0)</f>
        <v>0</v>
      </c>
      <c r="I47" s="78">
        <f>H47*(1/(1+'B Fasad och del av utemiljö'!$C$11)^A47)</f>
        <v>0</v>
      </c>
      <c r="J47" s="16">
        <f>'B Fasad och del av utemiljö'!$C$43/(POWER(1+'B Fasad och del av utemiljö'!$C$11,A47))</f>
        <v>0</v>
      </c>
      <c r="K47" s="16">
        <f>IF('B Fasad och del av utemiljö'!$C$8+1&gt;A47,J47,0)</f>
        <v>0</v>
      </c>
      <c r="L47" s="16">
        <f>'B Fasad och del av utemiljö'!$C$44/(POWER(1+'B Fasad och del av utemiljö'!$C$11,A47))</f>
        <v>0</v>
      </c>
      <c r="M47" s="16">
        <f>IF('B Fasad och del av utemiljö'!$C$8+1&gt;A47,L47,0)</f>
        <v>0</v>
      </c>
      <c r="N47" s="16"/>
      <c r="O47" s="16"/>
      <c r="Y47" s="16"/>
      <c r="Z47" s="16"/>
    </row>
    <row r="48" spans="1:26" x14ac:dyDescent="0.25">
      <c r="A48">
        <v>45</v>
      </c>
      <c r="B48" s="16">
        <f>('B Fasad och del av utemiljö'!$C$56*(1/(1+'B Fasad och del av utemiljö'!$C$11)^A48))*(('B Fasad och del av utemiljö'!$C$13+1)^40)</f>
        <v>10635.532855886744</v>
      </c>
      <c r="C48" s="16">
        <f>IF('B Fasad och del av utemiljö'!$C$8+1&gt;A48,B48,0)</f>
        <v>0</v>
      </c>
      <c r="D48" s="16">
        <f>('B Fasad och del av utemiljö'!$C$57*(1/(1+'B Fasad och del av utemiljö'!$C$11)^A48))*((1+'B Fasad och del av utemiljö'!$C$13)^40)</f>
        <v>28562.345400504637</v>
      </c>
      <c r="E48" s="16">
        <f>IF('B Fasad och del av utemiljö'!$C$8+1&gt;A48,D48,0)</f>
        <v>0</v>
      </c>
      <c r="F48" s="16"/>
      <c r="G48" s="16"/>
      <c r="H48" s="78">
        <f>IF(A48=('B Fasad och del av utemiljö'!$C$8+1),('B Fasad och del av utemiljö'!$C$49/'B Fasad och del av utemiljö'!$C$10)*('B Fasad och del av utemiljö'!$C$10-'B Fasad och del av utemiljö'!$C$8),0)</f>
        <v>0</v>
      </c>
      <c r="I48" s="78">
        <f>H48*(1/(1+'B Fasad och del av utemiljö'!$C$11)^A48)</f>
        <v>0</v>
      </c>
      <c r="J48" s="16">
        <f>'B Fasad och del av utemiljö'!$C$43/(POWER(1+'B Fasad och del av utemiljö'!$C$11,A48))</f>
        <v>0</v>
      </c>
      <c r="K48" s="16">
        <f>IF('B Fasad och del av utemiljö'!$C$8+1&gt;A48,J48,0)</f>
        <v>0</v>
      </c>
      <c r="L48" s="16">
        <f>'B Fasad och del av utemiljö'!$C$44/(POWER(1+'B Fasad och del av utemiljö'!$C$11,A48))</f>
        <v>0</v>
      </c>
      <c r="M48" s="16">
        <f>IF('B Fasad och del av utemiljö'!$C$8+1&gt;A48,L48,0)</f>
        <v>0</v>
      </c>
      <c r="N48" s="16"/>
      <c r="O48" s="16"/>
      <c r="Y48" s="16"/>
      <c r="Z48" s="16"/>
    </row>
    <row r="49" spans="1:26" x14ac:dyDescent="0.25">
      <c r="A49">
        <v>46</v>
      </c>
      <c r="B49" s="16">
        <f>('B Fasad och del av utemiljö'!$C$56*(1/(1+'B Fasad och del av utemiljö'!$C$11)^A49))*(('B Fasad och del av utemiljö'!$C$13+1)^40)</f>
        <v>10275.877155446129</v>
      </c>
      <c r="C49" s="16">
        <f>IF('B Fasad och del av utemiljö'!$C$8+1&gt;A49,B49,0)</f>
        <v>0</v>
      </c>
      <c r="D49" s="16">
        <f>('B Fasad och del av utemiljö'!$C$57*(1/(1+'B Fasad och del av utemiljö'!$C$11)^A49))*((1+'B Fasad och del av utemiljö'!$C$13)^40)</f>
        <v>27596.468985994819</v>
      </c>
      <c r="E49" s="16">
        <f>IF('B Fasad och del av utemiljö'!$C$8+1&gt;A49,D49,0)</f>
        <v>0</v>
      </c>
      <c r="F49" s="16"/>
      <c r="G49" s="16"/>
      <c r="H49" s="78">
        <f>IF(A49=('B Fasad och del av utemiljö'!$C$8+1),('B Fasad och del av utemiljö'!$C$49/'B Fasad och del av utemiljö'!$C$10)*('B Fasad och del av utemiljö'!$C$10-'B Fasad och del av utemiljö'!$C$8),0)</f>
        <v>0</v>
      </c>
      <c r="I49" s="78">
        <f>H49*(1/(1+'B Fasad och del av utemiljö'!$C$11)^A49)</f>
        <v>0</v>
      </c>
      <c r="J49" s="16">
        <f>'B Fasad och del av utemiljö'!$C$43/(POWER(1+'B Fasad och del av utemiljö'!$C$11,A49))</f>
        <v>0</v>
      </c>
      <c r="K49" s="16">
        <f>IF('B Fasad och del av utemiljö'!$C$8+1&gt;A49,J49,0)</f>
        <v>0</v>
      </c>
      <c r="L49" s="16">
        <f>'B Fasad och del av utemiljö'!$C$44/(POWER(1+'B Fasad och del av utemiljö'!$C$11,A49))</f>
        <v>0</v>
      </c>
      <c r="M49" s="16">
        <f>IF('B Fasad och del av utemiljö'!$C$8+1&gt;A49,L49,0)</f>
        <v>0</v>
      </c>
      <c r="N49" s="16"/>
      <c r="O49" s="16"/>
      <c r="Y49" s="16"/>
      <c r="Z49" s="16"/>
    </row>
    <row r="50" spans="1:26" x14ac:dyDescent="0.25">
      <c r="A50">
        <v>47</v>
      </c>
      <c r="B50" s="16">
        <f>('B Fasad och del av utemiljö'!$C$56*(1/(1+'B Fasad och del av utemiljö'!$C$11)^A50))*(('B Fasad och del av utemiljö'!$C$13+1)^40)</f>
        <v>9928.3837250687247</v>
      </c>
      <c r="C50" s="16">
        <f>IF('B Fasad och del av utemiljö'!$C$8+1&gt;A50,B50,0)</f>
        <v>0</v>
      </c>
      <c r="D50" s="16">
        <f>('B Fasad och del av utemiljö'!$C$57*(1/(1+'B Fasad och del av utemiljö'!$C$11)^A50))*((1+'B Fasad och del av utemiljö'!$C$13)^40)</f>
        <v>26663.255058932198</v>
      </c>
      <c r="E50" s="16">
        <f>IF('B Fasad och del av utemiljö'!$C$8+1&gt;A50,D50,0)</f>
        <v>0</v>
      </c>
      <c r="F50" s="16"/>
      <c r="G50" s="16"/>
      <c r="H50" s="78">
        <f>IF(A50=('B Fasad och del av utemiljö'!$C$8+1),('B Fasad och del av utemiljö'!$C$49/'B Fasad och del av utemiljö'!$C$10)*('B Fasad och del av utemiljö'!$C$10-'B Fasad och del av utemiljö'!$C$8),0)</f>
        <v>0</v>
      </c>
      <c r="I50" s="78">
        <f>H50*(1/(1+'B Fasad och del av utemiljö'!$C$11)^A50)</f>
        <v>0</v>
      </c>
      <c r="J50" s="16">
        <f>'B Fasad och del av utemiljö'!$C$43/(POWER(1+'B Fasad och del av utemiljö'!$C$11,A50))</f>
        <v>0</v>
      </c>
      <c r="K50" s="16">
        <f>IF('B Fasad och del av utemiljö'!$C$8+1&gt;A50,J50,0)</f>
        <v>0</v>
      </c>
      <c r="L50" s="16">
        <f>'B Fasad och del av utemiljö'!$C$44/(POWER(1+'B Fasad och del av utemiljö'!$C$11,A50))</f>
        <v>0</v>
      </c>
      <c r="M50" s="16">
        <f>IF('B Fasad och del av utemiljö'!$C$8+1&gt;A50,L50,0)</f>
        <v>0</v>
      </c>
      <c r="N50" s="16"/>
      <c r="O50" s="16"/>
      <c r="Y50" s="16"/>
      <c r="Z50" s="16"/>
    </row>
    <row r="51" spans="1:26" x14ac:dyDescent="0.25">
      <c r="A51">
        <v>48</v>
      </c>
      <c r="B51" s="16">
        <f>('B Fasad och del av utemiljö'!$C$56*(1/(1+'B Fasad och del av utemiljö'!$C$11)^A51))*(('B Fasad och del av utemiljö'!$C$13+1)^40)</f>
        <v>9592.6412802596387</v>
      </c>
      <c r="C51" s="16">
        <f>IF('B Fasad och del av utemiljö'!$C$8+1&gt;A51,B51,0)</f>
        <v>0</v>
      </c>
      <c r="D51" s="16">
        <f>('B Fasad och del av utemiljö'!$C$57*(1/(1+'B Fasad och del av utemiljö'!$C$11)^A51))*((1+'B Fasad och del av utemiljö'!$C$13)^40)</f>
        <v>25761.599090755753</v>
      </c>
      <c r="E51" s="16">
        <f>IF('B Fasad och del av utemiljö'!$C$8+1&gt;A51,D51,0)</f>
        <v>0</v>
      </c>
      <c r="F51" s="16"/>
      <c r="G51" s="16"/>
      <c r="H51" s="78">
        <f>IF(A51=('B Fasad och del av utemiljö'!$C$8+1),('B Fasad och del av utemiljö'!$C$49/'B Fasad och del av utemiljö'!$C$10)*('B Fasad och del av utemiljö'!$C$10-'B Fasad och del av utemiljö'!$C$8),0)</f>
        <v>0</v>
      </c>
      <c r="I51" s="78">
        <f>H51*(1/(1+'B Fasad och del av utemiljö'!$C$11)^A51)</f>
        <v>0</v>
      </c>
      <c r="J51" s="16">
        <f>'B Fasad och del av utemiljö'!$C$43/(POWER(1+'B Fasad och del av utemiljö'!$C$11,A51))</f>
        <v>0</v>
      </c>
      <c r="K51" s="16">
        <f>IF('B Fasad och del av utemiljö'!$C$8+1&gt;A51,J51,0)</f>
        <v>0</v>
      </c>
      <c r="L51" s="16">
        <f>'B Fasad och del av utemiljö'!$C$44/(POWER(1+'B Fasad och del av utemiljö'!$C$11,A51))</f>
        <v>0</v>
      </c>
      <c r="M51" s="16">
        <f>IF('B Fasad och del av utemiljö'!$C$8+1&gt;A51,L51,0)</f>
        <v>0</v>
      </c>
      <c r="N51" s="16"/>
      <c r="O51" s="16"/>
      <c r="Y51" s="16"/>
      <c r="Z51" s="16"/>
    </row>
    <row r="52" spans="1:26" x14ac:dyDescent="0.25">
      <c r="A52">
        <v>49</v>
      </c>
      <c r="B52" s="16">
        <f>('B Fasad och del av utemiljö'!$C$56*(1/(1+'B Fasad och del av utemiljö'!$C$11)^A52))*(('B Fasad och del av utemiljö'!$C$13+1)^40)</f>
        <v>9268.2524446953048</v>
      </c>
      <c r="C52" s="16">
        <f>IF('B Fasad och del av utemiljö'!$C$8+1&gt;A52,B52,0)</f>
        <v>0</v>
      </c>
      <c r="D52" s="16">
        <f>('B Fasad och del av utemiljö'!$C$57*(1/(1+'B Fasad och del av utemiljö'!$C$11)^A52))*((1+'B Fasad och del av utemiljö'!$C$13)^40)</f>
        <v>24890.433904111844</v>
      </c>
      <c r="E52" s="16">
        <f>IF('B Fasad och del av utemiljö'!$C$8+1&gt;A52,D52,0)</f>
        <v>0</v>
      </c>
      <c r="F52" s="16"/>
      <c r="G52" s="16"/>
      <c r="H52" s="78">
        <f>IF(A52=('B Fasad och del av utemiljö'!$C$8+1),('B Fasad och del av utemiljö'!$C$49/'B Fasad och del av utemiljö'!$C$10)*('B Fasad och del av utemiljö'!$C$10-'B Fasad och del av utemiljö'!$C$8),0)</f>
        <v>0</v>
      </c>
      <c r="I52" s="78">
        <f>H52*(1/(1+'B Fasad och del av utemiljö'!$C$11)^A52)</f>
        <v>0</v>
      </c>
      <c r="J52" s="16">
        <f>'B Fasad och del av utemiljö'!$C$43/(POWER(1+'B Fasad och del av utemiljö'!$C$11,A52))</f>
        <v>0</v>
      </c>
      <c r="K52" s="16">
        <f>IF('B Fasad och del av utemiljö'!$C$8+1&gt;A52,J52,0)</f>
        <v>0</v>
      </c>
      <c r="L52" s="16">
        <f>'B Fasad och del av utemiljö'!$C$44/(POWER(1+'B Fasad och del av utemiljö'!$C$11,A52))</f>
        <v>0</v>
      </c>
      <c r="M52" s="16">
        <f>IF('B Fasad och del av utemiljö'!$C$8+1&gt;A52,L52,0)</f>
        <v>0</v>
      </c>
      <c r="N52" s="16"/>
      <c r="O52" s="16"/>
      <c r="Y52" s="16"/>
      <c r="Z52" s="16"/>
    </row>
    <row r="53" spans="1:26" x14ac:dyDescent="0.25">
      <c r="A53">
        <v>50</v>
      </c>
      <c r="B53" s="16">
        <f>('B Fasad och del av utemiljö'!$C$56*(1/(1+'B Fasad och del av utemiljö'!$C$11)^A53))*(('B Fasad och del av utemiljö'!$C$13+1)^40)</f>
        <v>8954.8332798988449</v>
      </c>
      <c r="C53" s="16">
        <f>IF('B Fasad och del av utemiljö'!$C$8+1&gt;A53,B53,0)</f>
        <v>0</v>
      </c>
      <c r="D53" s="16">
        <f>('B Fasad och del av utemiljö'!$C$57*(1/(1+'B Fasad och del av utemiljö'!$C$11)^A53))*((1+'B Fasad och del av utemiljö'!$C$13)^40)</f>
        <v>24048.728409769894</v>
      </c>
      <c r="E53" s="16">
        <f>IF('B Fasad och del av utemiljö'!$C$8+1&gt;A53,D53,0)</f>
        <v>0</v>
      </c>
      <c r="F53" s="16"/>
      <c r="G53" s="16"/>
      <c r="H53" s="78">
        <f>IF(A53=('B Fasad och del av utemiljö'!$C$8+1),('B Fasad och del av utemiljö'!$C$49/'B Fasad och del av utemiljö'!$C$10)*('B Fasad och del av utemiljö'!$C$10-'B Fasad och del av utemiljö'!$C$8),0)</f>
        <v>0</v>
      </c>
      <c r="I53" s="78">
        <f>H53*(1/(1+'B Fasad och del av utemiljö'!$C$11)^A53)</f>
        <v>0</v>
      </c>
      <c r="J53" s="16">
        <f>'B Fasad och del av utemiljö'!$C$43/(POWER(1+'B Fasad och del av utemiljö'!$C$11,A53))</f>
        <v>0</v>
      </c>
      <c r="K53" s="16">
        <f>IF('B Fasad och del av utemiljö'!$C$8+1&gt;A53,J53,0)</f>
        <v>0</v>
      </c>
      <c r="L53" s="16">
        <f>'B Fasad och del av utemiljö'!$C$44/(POWER(1+'B Fasad och del av utemiljö'!$C$11,A53))</f>
        <v>0</v>
      </c>
      <c r="M53" s="16">
        <f>IF('B Fasad och del av utemiljö'!$C$8+1&gt;A53,L53,0)</f>
        <v>0</v>
      </c>
      <c r="N53" s="16"/>
      <c r="O53" s="16"/>
      <c r="Y53" s="16"/>
      <c r="Z53" s="16"/>
    </row>
    <row r="54" spans="1:26" x14ac:dyDescent="0.25">
      <c r="A54">
        <v>51</v>
      </c>
      <c r="B54" s="16">
        <f>('B Fasad och del av utemiljö'!$C$56*(1/(1+'B Fasad och del av utemiljö'!$C$11)^A54))*(('B Fasad och del av utemiljö'!$C$13+1)^40)</f>
        <v>8652.0128308201402</v>
      </c>
      <c r="C54" s="16">
        <f>IF('B Fasad och del av utemiljö'!$C$8+1&gt;A54,B54,0)</f>
        <v>0</v>
      </c>
      <c r="D54" s="16">
        <f>('B Fasad och del av utemiljö'!$C$57*(1/(1+'B Fasad och del av utemiljö'!$C$11)^A54))*((1+'B Fasad och del av utemiljö'!$C$13)^40)</f>
        <v>23235.486386251108</v>
      </c>
      <c r="E54" s="16">
        <f>IF('B Fasad och del av utemiljö'!$C$8+1&gt;A54,D54,0)</f>
        <v>0</v>
      </c>
      <c r="F54" s="16"/>
      <c r="G54" s="16"/>
      <c r="H54" s="78">
        <f>IF(A54=('B Fasad och del av utemiljö'!$C$8+1),('B Fasad och del av utemiljö'!$C$49/'B Fasad och del av utemiljö'!$C$10)*('B Fasad och del av utemiljö'!$C$10-'B Fasad och del av utemiljö'!$C$8),0)</f>
        <v>0</v>
      </c>
      <c r="I54" s="78">
        <f>H54*(1/(1+'B Fasad och del av utemiljö'!$C$11)^A54)</f>
        <v>0</v>
      </c>
      <c r="J54" s="16">
        <f>'B Fasad och del av utemiljö'!$C$43/(POWER(1+'B Fasad och del av utemiljö'!$C$11,A54))</f>
        <v>0</v>
      </c>
      <c r="K54" s="16">
        <f>IF('B Fasad och del av utemiljö'!$C$8+1&gt;A54,J54,0)</f>
        <v>0</v>
      </c>
      <c r="L54" s="16">
        <f>'B Fasad och del av utemiljö'!$C$44/(POWER(1+'B Fasad och del av utemiljö'!$C$11,A54))</f>
        <v>0</v>
      </c>
      <c r="M54" s="16">
        <f>IF('B Fasad och del av utemiljö'!$C$8+1&gt;A54,L54,0)</f>
        <v>0</v>
      </c>
      <c r="N54" s="16"/>
      <c r="O54" s="16"/>
      <c r="Y54" s="16"/>
      <c r="Z54" s="16"/>
    </row>
    <row r="55" spans="1:26" x14ac:dyDescent="0.25">
      <c r="A55">
        <v>52</v>
      </c>
      <c r="B55" s="16">
        <f>('B Fasad och del av utemiljö'!$C$56*(1/(1+'B Fasad och del av utemiljö'!$C$11)^A55))*(('B Fasad och del av utemiljö'!$C$13+1)^40)</f>
        <v>8359.4326867827458</v>
      </c>
      <c r="C55" s="16">
        <f>IF('B Fasad och del av utemiljö'!$C$8+1&gt;A55,B55,0)</f>
        <v>0</v>
      </c>
      <c r="D55" s="16">
        <f>('B Fasad och del av utemiljö'!$C$57*(1/(1+'B Fasad och del av utemiljö'!$C$11)^A55))*((1+'B Fasad och del av utemiljö'!$C$13)^40)</f>
        <v>22449.74530072571</v>
      </c>
      <c r="E55" s="16">
        <f>IF('B Fasad och del av utemiljö'!$C$8+1&gt;A55,D55,0)</f>
        <v>0</v>
      </c>
      <c r="F55" s="16"/>
      <c r="G55" s="16"/>
      <c r="H55" s="78">
        <f>IF(A55=('B Fasad och del av utemiljö'!$C$8+1),('B Fasad och del av utemiljö'!$C$49/'B Fasad och del av utemiljö'!$C$10)*('B Fasad och del av utemiljö'!$C$10-'B Fasad och del av utemiljö'!$C$8),0)</f>
        <v>0</v>
      </c>
      <c r="I55" s="78">
        <f>H55*(1/(1+'B Fasad och del av utemiljö'!$C$11)^A55)</f>
        <v>0</v>
      </c>
      <c r="J55" s="16">
        <f>'B Fasad och del av utemiljö'!$C$43/(POWER(1+'B Fasad och del av utemiljö'!$C$11,A55))</f>
        <v>0</v>
      </c>
      <c r="K55" s="16">
        <f>IF('B Fasad och del av utemiljö'!$C$8+1&gt;A55,J55,0)</f>
        <v>0</v>
      </c>
      <c r="L55" s="16">
        <f>'B Fasad och del av utemiljö'!$C$44/(POWER(1+'B Fasad och del av utemiljö'!$C$11,A55))</f>
        <v>0</v>
      </c>
      <c r="M55" s="16">
        <f>IF('B Fasad och del av utemiljö'!$C$8+1&gt;A55,L55,0)</f>
        <v>0</v>
      </c>
      <c r="N55" s="16"/>
      <c r="O55" s="16"/>
      <c r="Y55" s="16"/>
      <c r="Z55" s="16"/>
    </row>
    <row r="56" spans="1:26" x14ac:dyDescent="0.25">
      <c r="A56">
        <v>53</v>
      </c>
      <c r="B56" s="16">
        <f>('B Fasad och del av utemiljö'!$C$56*(1/(1+'B Fasad och del av utemiljö'!$C$11)^A56))*(('B Fasad och del av utemiljö'!$C$13+1)^40)</f>
        <v>8076.7465572780175</v>
      </c>
      <c r="C56" s="16">
        <f>IF('B Fasad och del av utemiljö'!$C$8+1&gt;A56,B56,0)</f>
        <v>0</v>
      </c>
      <c r="D56" s="16">
        <f>('B Fasad och del av utemiljö'!$C$57*(1/(1+'B Fasad och del av utemiljö'!$C$11)^A56))*((1+'B Fasad och del av utemiljö'!$C$13)^40)</f>
        <v>21690.5751697833</v>
      </c>
      <c r="E56" s="16">
        <f>IF('B Fasad och del av utemiljö'!$C$8+1&gt;A56,D56,0)</f>
        <v>0</v>
      </c>
      <c r="F56" s="16"/>
      <c r="G56" s="16"/>
      <c r="H56" s="78">
        <f>IF(A56=('B Fasad och del av utemiljö'!$C$8+1),('B Fasad och del av utemiljö'!$C$49/'B Fasad och del av utemiljö'!$C$10)*('B Fasad och del av utemiljö'!$C$10-'B Fasad och del av utemiljö'!$C$8),0)</f>
        <v>0</v>
      </c>
      <c r="I56" s="78">
        <f>H56*(1/(1+'B Fasad och del av utemiljö'!$C$11)^A56)</f>
        <v>0</v>
      </c>
      <c r="J56" s="16">
        <f>'B Fasad och del av utemiljö'!$C$43/(POWER(1+'B Fasad och del av utemiljö'!$C$11,A56))</f>
        <v>0</v>
      </c>
      <c r="K56" s="16">
        <f>IF('B Fasad och del av utemiljö'!$C$8+1&gt;A56,J56,0)</f>
        <v>0</v>
      </c>
      <c r="L56" s="16">
        <f>'B Fasad och del av utemiljö'!$C$44/(POWER(1+'B Fasad och del av utemiljö'!$C$11,A56))</f>
        <v>0</v>
      </c>
      <c r="M56" s="16">
        <f>IF('B Fasad och del av utemiljö'!$C$8+1&gt;A56,L56,0)</f>
        <v>0</v>
      </c>
      <c r="N56" s="16"/>
      <c r="O56" s="16"/>
      <c r="Y56" s="16"/>
      <c r="Z56" s="16"/>
    </row>
    <row r="57" spans="1:26" x14ac:dyDescent="0.25">
      <c r="A57">
        <v>54</v>
      </c>
      <c r="B57" s="16">
        <f>('B Fasad och del av utemiljö'!$C$56*(1/(1+'B Fasad och del av utemiljö'!$C$11)^A57))*(('B Fasad och del av utemiljö'!$C$13+1)^40)</f>
        <v>7803.6198621043641</v>
      </c>
      <c r="C57" s="16">
        <f>IF('B Fasad och del av utemiljö'!$C$8+1&gt;A57,B57,0)</f>
        <v>0</v>
      </c>
      <c r="D57" s="16">
        <f>('B Fasad och del av utemiljö'!$C$57*(1/(1+'B Fasad och del av utemiljö'!$C$11)^A57))*((1+'B Fasad och del av utemiljö'!$C$13)^40)</f>
        <v>20957.077458727828</v>
      </c>
      <c r="E57" s="16">
        <f>IF('B Fasad och del av utemiljö'!$C$8+1&gt;A57,D57,0)</f>
        <v>0</v>
      </c>
      <c r="F57" s="16"/>
      <c r="G57" s="16"/>
      <c r="H57" s="78">
        <f>IF(A57=('B Fasad och del av utemiljö'!$C$8+1),('B Fasad och del av utemiljö'!$C$49/'B Fasad och del av utemiljö'!$C$10)*('B Fasad och del av utemiljö'!$C$10-'B Fasad och del av utemiljö'!$C$8),0)</f>
        <v>0</v>
      </c>
      <c r="I57" s="78">
        <f>H57*(1/(1+'B Fasad och del av utemiljö'!$C$11)^A57)</f>
        <v>0</v>
      </c>
      <c r="J57" s="16">
        <f>'B Fasad och del av utemiljö'!$C$43/(POWER(1+'B Fasad och del av utemiljö'!$C$11,A57))</f>
        <v>0</v>
      </c>
      <c r="K57" s="16">
        <f>IF('B Fasad och del av utemiljö'!$C$8+1&gt;A57,J57,0)</f>
        <v>0</v>
      </c>
      <c r="L57" s="16">
        <f>'B Fasad och del av utemiljö'!$C$44/(POWER(1+'B Fasad och del av utemiljö'!$C$11,A57))</f>
        <v>0</v>
      </c>
      <c r="M57" s="16">
        <f>IF('B Fasad och del av utemiljö'!$C$8+1&gt;A57,L57,0)</f>
        <v>0</v>
      </c>
      <c r="N57" s="16"/>
      <c r="O57" s="16"/>
      <c r="Y57" s="16"/>
      <c r="Z57" s="16"/>
    </row>
    <row r="58" spans="1:26" x14ac:dyDescent="0.25">
      <c r="A58">
        <v>55</v>
      </c>
      <c r="B58" s="16">
        <f>('B Fasad och del av utemiljö'!$C$56*(1/(1+'B Fasad och del av utemiljö'!$C$11)^A58))*(('B Fasad och del av utemiljö'!$C$13+1)^40)</f>
        <v>7539.7293353665345</v>
      </c>
      <c r="C58" s="16">
        <f>IF('B Fasad och del av utemiljö'!$C$8+1&gt;A58,B58,0)</f>
        <v>0</v>
      </c>
      <c r="D58" s="16">
        <f>('B Fasad och del av utemiljö'!$C$57*(1/(1+'B Fasad och del av utemiljö'!$C$11)^A58))*((1+'B Fasad och del av utemiljö'!$C$13)^40)</f>
        <v>20248.384018094519</v>
      </c>
      <c r="E58" s="16">
        <f>IF('B Fasad och del av utemiljö'!$C$8+1&gt;A58,D58,0)</f>
        <v>0</v>
      </c>
      <c r="F58" s="16"/>
      <c r="G58" s="16"/>
      <c r="H58" s="78">
        <f>IF(A58=('B Fasad och del av utemiljö'!$C$8+1),('B Fasad och del av utemiljö'!$C$49/'B Fasad och del av utemiljö'!$C$10)*('B Fasad och del av utemiljö'!$C$10-'B Fasad och del av utemiljö'!$C$8),0)</f>
        <v>0</v>
      </c>
      <c r="I58" s="78">
        <f>H58*(1/(1+'B Fasad och del av utemiljö'!$C$11)^A58)</f>
        <v>0</v>
      </c>
      <c r="J58" s="16">
        <f>'B Fasad och del av utemiljö'!$C$43/(POWER(1+'B Fasad och del av utemiljö'!$C$11,A58))</f>
        <v>0</v>
      </c>
      <c r="K58" s="16">
        <f>IF('B Fasad och del av utemiljö'!$C$8+1&gt;A58,J58,0)</f>
        <v>0</v>
      </c>
      <c r="L58" s="16">
        <f>'B Fasad och del av utemiljö'!$C$44/(POWER(1+'B Fasad och del av utemiljö'!$C$11,A58))</f>
        <v>0</v>
      </c>
      <c r="M58" s="16">
        <f>IF('B Fasad och del av utemiljö'!$C$8+1&gt;A58,L58,0)</f>
        <v>0</v>
      </c>
      <c r="N58" s="16"/>
      <c r="O58" s="16"/>
      <c r="Y58" s="16"/>
      <c r="Z58" s="16"/>
    </row>
    <row r="59" spans="1:26" x14ac:dyDescent="0.25">
      <c r="A59">
        <v>56</v>
      </c>
      <c r="B59" s="16">
        <f>('B Fasad och del av utemiljö'!$C$56*(1/(1+'B Fasad och del av utemiljö'!$C$11)^A59))*(('B Fasad och del av utemiljö'!$C$13+1)^40)</f>
        <v>7284.7626428662197</v>
      </c>
      <c r="C59" s="16">
        <f>IF('B Fasad och del av utemiljö'!$C$8+1&gt;A59,B59,0)</f>
        <v>0</v>
      </c>
      <c r="D59" s="16">
        <f>('B Fasad och del av utemiljö'!$C$57*(1/(1+'B Fasad och del av utemiljö'!$C$11)^A59))*((1+'B Fasad och del av utemiljö'!$C$13)^40)</f>
        <v>19563.656056129974</v>
      </c>
      <c r="E59" s="16">
        <f>IF('B Fasad och del av utemiljö'!$C$8+1&gt;A59,D59,0)</f>
        <v>0</v>
      </c>
      <c r="F59" s="16"/>
      <c r="G59" s="16"/>
      <c r="H59" s="78">
        <f>IF(A59=('B Fasad och del av utemiljö'!$C$8+1),('B Fasad och del av utemiljö'!$C$49/'B Fasad och del av utemiljö'!$C$10)*('B Fasad och del av utemiljö'!$C$10-'B Fasad och del av utemiljö'!$C$8),0)</f>
        <v>0</v>
      </c>
      <c r="I59" s="78">
        <f>H59*(1/(1+'B Fasad och del av utemiljö'!$C$11)^A59)</f>
        <v>0</v>
      </c>
      <c r="J59" s="16">
        <f>'B Fasad och del av utemiljö'!$C$43/(POWER(1+'B Fasad och del av utemiljö'!$C$11,A59))</f>
        <v>0</v>
      </c>
      <c r="K59" s="16">
        <f>IF('B Fasad och del av utemiljö'!$C$8+1&gt;A59,J59,0)</f>
        <v>0</v>
      </c>
      <c r="L59" s="16">
        <f>'B Fasad och del av utemiljö'!$C$44/(POWER(1+'B Fasad och del av utemiljö'!$C$11,A59))</f>
        <v>0</v>
      </c>
      <c r="M59" s="16">
        <f>IF('B Fasad och del av utemiljö'!$C$8+1&gt;A59,L59,0)</f>
        <v>0</v>
      </c>
      <c r="N59" s="16"/>
      <c r="O59" s="16"/>
      <c r="Y59" s="16"/>
      <c r="Z59" s="16"/>
    </row>
    <row r="60" spans="1:26" x14ac:dyDescent="0.25">
      <c r="A60">
        <v>57</v>
      </c>
      <c r="B60" s="16">
        <f>('B Fasad och del av utemiljö'!$C$56*(1/(1+'B Fasad och del av utemiljö'!$C$11)^A60))*(('B Fasad och del av utemiljö'!$C$13+1)^40)</f>
        <v>7038.4180124311306</v>
      </c>
      <c r="C60" s="16">
        <f>IF('B Fasad och del av utemiljö'!$C$8+1&gt;A60,B60,0)</f>
        <v>0</v>
      </c>
      <c r="D60" s="16">
        <f>('B Fasad och del av utemiljö'!$C$57*(1/(1+'B Fasad och del av utemiljö'!$C$11)^A60))*((1+'B Fasad och del av utemiljö'!$C$13)^40)</f>
        <v>18902.0831460193</v>
      </c>
      <c r="E60" s="16">
        <f>IF('B Fasad och del av utemiljö'!$C$8+1&gt;A60,D60,0)</f>
        <v>0</v>
      </c>
      <c r="F60" s="16"/>
      <c r="G60" s="16"/>
      <c r="H60" s="78">
        <f>IF(A60=('B Fasad och del av utemiljö'!$C$8+1),('B Fasad och del av utemiljö'!$C$49/'B Fasad och del av utemiljö'!$C$10)*('B Fasad och del av utemiljö'!$C$10-'B Fasad och del av utemiljö'!$C$8),0)</f>
        <v>0</v>
      </c>
      <c r="I60" s="78">
        <f>H60*(1/(1+'B Fasad och del av utemiljö'!$C$11)^A60)</f>
        <v>0</v>
      </c>
      <c r="J60" s="16">
        <f>'B Fasad och del av utemiljö'!$C$43/(POWER(1+'B Fasad och del av utemiljö'!$C$11,A60))</f>
        <v>0</v>
      </c>
      <c r="K60" s="16">
        <f>IF('B Fasad och del av utemiljö'!$C$8+1&gt;A60,J60,0)</f>
        <v>0</v>
      </c>
      <c r="L60" s="16">
        <f>'B Fasad och del av utemiljö'!$C$44/(POWER(1+'B Fasad och del av utemiljö'!$C$11,A60))</f>
        <v>0</v>
      </c>
      <c r="M60" s="16">
        <f>IF('B Fasad och del av utemiljö'!$C$8+1&gt;A60,L60,0)</f>
        <v>0</v>
      </c>
      <c r="N60" s="16"/>
      <c r="O60" s="16"/>
      <c r="Y60" s="16"/>
      <c r="Z60" s="16"/>
    </row>
    <row r="61" spans="1:26" x14ac:dyDescent="0.25">
      <c r="A61">
        <v>58</v>
      </c>
      <c r="B61" s="16">
        <f>('B Fasad och del av utemiljö'!$C$56*(1/(1+'B Fasad och del av utemiljö'!$C$11)^A61))*(('B Fasad och del av utemiljö'!$C$13+1)^40)</f>
        <v>6800.4038767450538</v>
      </c>
      <c r="C61" s="16">
        <f>IF('B Fasad och del av utemiljö'!$C$8+1&gt;A61,B61,0)</f>
        <v>0</v>
      </c>
      <c r="D61" s="16">
        <f>('B Fasad och del av utemiljö'!$C$57*(1/(1+'B Fasad och del av utemiljö'!$C$11)^A61))*((1+'B Fasad och del av utemiljö'!$C$13)^40)</f>
        <v>18262.882266685316</v>
      </c>
      <c r="E61" s="16">
        <f>IF('B Fasad och del av utemiljö'!$C$8+1&gt;A61,D61,0)</f>
        <v>0</v>
      </c>
      <c r="F61" s="16"/>
      <c r="G61" s="16"/>
      <c r="H61" s="78">
        <f>IF(A61=('B Fasad och del av utemiljö'!$C$8+1),('B Fasad och del av utemiljö'!$C$49/'B Fasad och del av utemiljö'!$C$10)*('B Fasad och del av utemiljö'!$C$10-'B Fasad och del av utemiljö'!$C$8),0)</f>
        <v>0</v>
      </c>
      <c r="I61" s="78">
        <f>H61*(1/(1+'B Fasad och del av utemiljö'!$C$11)^A61)</f>
        <v>0</v>
      </c>
      <c r="J61" s="16">
        <f>'B Fasad och del av utemiljö'!$C$43/(POWER(1+'B Fasad och del av utemiljö'!$C$11,A61))</f>
        <v>0</v>
      </c>
      <c r="K61" s="16">
        <f>IF('B Fasad och del av utemiljö'!$C$8+1&gt;A61,J61,0)</f>
        <v>0</v>
      </c>
      <c r="L61" s="16">
        <f>'B Fasad och del av utemiljö'!$C$44/(POWER(1+'B Fasad och del av utemiljö'!$C$11,A61))</f>
        <v>0</v>
      </c>
      <c r="M61" s="16">
        <f>IF('B Fasad och del av utemiljö'!$C$8+1&gt;A61,L61,0)</f>
        <v>0</v>
      </c>
      <c r="N61" s="16"/>
      <c r="O61" s="16"/>
      <c r="Y61" s="16"/>
      <c r="Z61" s="16"/>
    </row>
    <row r="62" spans="1:26" x14ac:dyDescent="0.25">
      <c r="A62">
        <v>59</v>
      </c>
      <c r="B62" s="16">
        <f>('B Fasad och del av utemiljö'!$C$56*(1/(1+'B Fasad och del av utemiljö'!$C$11)^A62))*(('B Fasad och del av utemiljö'!$C$13+1)^40)</f>
        <v>6570.4385282560897</v>
      </c>
      <c r="C62" s="16">
        <f>IF('B Fasad och del av utemiljö'!$C$8+1&gt;A62,B62,0)</f>
        <v>0</v>
      </c>
      <c r="D62" s="16">
        <f>('B Fasad och del av utemiljö'!$C$57*(1/(1+'B Fasad och del av utemiljö'!$C$11)^A62))*((1+'B Fasad och del av utemiljö'!$C$13)^40)</f>
        <v>17645.296876024455</v>
      </c>
      <c r="E62" s="16">
        <f>IF('B Fasad och del av utemiljö'!$C$8+1&gt;A62,D62,0)</f>
        <v>0</v>
      </c>
      <c r="F62" s="16"/>
      <c r="G62" s="16"/>
      <c r="H62" s="78">
        <f>IF(A62=('B Fasad och del av utemiljö'!$C$8+1),('B Fasad och del av utemiljö'!$C$49/'B Fasad och del av utemiljö'!$C$10)*('B Fasad och del av utemiljö'!$C$10-'B Fasad och del av utemiljö'!$C$8),0)</f>
        <v>0</v>
      </c>
      <c r="I62" s="78">
        <f>H62*(1/(1+'B Fasad och del av utemiljö'!$C$11)^A62)</f>
        <v>0</v>
      </c>
      <c r="J62" s="16">
        <f>'B Fasad och del av utemiljö'!$C$43/(POWER(1+'B Fasad och del av utemiljö'!$C$11,A62))</f>
        <v>0</v>
      </c>
      <c r="K62" s="16">
        <f>IF('B Fasad och del av utemiljö'!$C$8+1&gt;A62,J62,0)</f>
        <v>0</v>
      </c>
      <c r="L62" s="16">
        <f>'B Fasad och del av utemiljö'!$C$44/(POWER(1+'B Fasad och del av utemiljö'!$C$11,A62))</f>
        <v>0</v>
      </c>
      <c r="M62" s="16">
        <f>IF('B Fasad och del av utemiljö'!$C$8+1&gt;A62,L62,0)</f>
        <v>0</v>
      </c>
      <c r="N62" s="16"/>
      <c r="O62" s="16"/>
      <c r="Y62" s="16"/>
      <c r="Z62" s="16"/>
    </row>
    <row r="63" spans="1:26" x14ac:dyDescent="0.25">
      <c r="A63">
        <v>60</v>
      </c>
      <c r="B63" s="16">
        <f>('B Fasad och del av utemiljö'!$C$56*(1/(1+'B Fasad och del av utemiljö'!$C$11)^A63))*(('B Fasad och del av utemiljö'!$C$13+1)^40)</f>
        <v>6348.2497857546769</v>
      </c>
      <c r="C63" s="16">
        <f>IF('B Fasad och del av utemiljö'!$C$8+1&gt;A63,B63,0)</f>
        <v>0</v>
      </c>
      <c r="D63" s="16">
        <f>('B Fasad och del av utemiljö'!$C$57*(1/(1+'B Fasad och del av utemiljö'!$C$11)^A63))*((1+'B Fasad och del av utemiljö'!$C$13)^40)</f>
        <v>17048.59601548257</v>
      </c>
      <c r="E63" s="16">
        <f>IF('B Fasad och del av utemiljö'!$C$8+1&gt;A63,D63,0)</f>
        <v>0</v>
      </c>
      <c r="F63" s="16"/>
      <c r="G63" s="16"/>
      <c r="H63" s="78">
        <f>IF(A63=('B Fasad och del av utemiljö'!$C$8+1),('B Fasad och del av utemiljö'!$C$49/'B Fasad och del av utemiljö'!$C$10)*('B Fasad och del av utemiljö'!$C$10-'B Fasad och del av utemiljö'!$C$8),0)</f>
        <v>0</v>
      </c>
      <c r="I63" s="78">
        <f>H63*(1/(1+'B Fasad och del av utemiljö'!$C$11)^A63)</f>
        <v>0</v>
      </c>
      <c r="J63" s="16">
        <f>'B Fasad och del av utemiljö'!$C$43/(POWER(1+'B Fasad och del av utemiljö'!$C$11,A63))</f>
        <v>0</v>
      </c>
      <c r="K63" s="16">
        <f>IF('B Fasad och del av utemiljö'!$C$8+1&gt;A63,J63,0)</f>
        <v>0</v>
      </c>
      <c r="L63" s="16">
        <f>'B Fasad och del av utemiljö'!$C$44/(POWER(1+'B Fasad och del av utemiljö'!$C$11,A63))</f>
        <v>0</v>
      </c>
      <c r="M63" s="16">
        <f>IF('B Fasad och del av utemiljö'!$C$8+1&gt;A63,L63,0)</f>
        <v>0</v>
      </c>
      <c r="N63" s="16"/>
      <c r="O63" s="16"/>
      <c r="Y63" s="16"/>
      <c r="Z63" s="16"/>
    </row>
    <row r="64" spans="1:26" x14ac:dyDescent="0.25">
      <c r="B64" s="16"/>
      <c r="C64" s="16">
        <f>SUM(C3:C63)</f>
        <v>501810.1919023419</v>
      </c>
      <c r="D64" s="16"/>
      <c r="E64" s="16">
        <f>SUM(E3:E63)</f>
        <v>1347640.6138574423</v>
      </c>
      <c r="F64" s="16"/>
      <c r="G64" s="16"/>
      <c r="H64" s="16">
        <f>SUM(H3:H63)</f>
        <v>320000</v>
      </c>
      <c r="I64" s="16">
        <f>SUM(I3:I63)</f>
        <v>155382.68890641027</v>
      </c>
      <c r="J64" s="16"/>
      <c r="K64" s="16">
        <f>SUM(K4:K63)</f>
        <v>0</v>
      </c>
      <c r="L64" s="16"/>
      <c r="M64" s="16">
        <f>SUM(M3:M63)</f>
        <v>0</v>
      </c>
      <c r="N64" s="16"/>
      <c r="O64" s="16"/>
      <c r="Y64" s="16"/>
      <c r="Z64" s="16"/>
    </row>
    <row r="65" spans="2:15" x14ac:dyDescent="0.25">
      <c r="B65" s="16"/>
      <c r="C65" s="16"/>
      <c r="D65" s="16"/>
      <c r="E65" s="16"/>
      <c r="F65" s="16"/>
      <c r="G65" s="16"/>
      <c r="H65" s="78"/>
      <c r="I65" s="78"/>
      <c r="J65" s="16"/>
      <c r="K65" s="16"/>
      <c r="L65" s="16"/>
      <c r="M65" s="16"/>
      <c r="N65" s="16"/>
      <c r="O65" s="16"/>
    </row>
    <row r="66" spans="2:15" x14ac:dyDescent="0.25">
      <c r="J66" s="16"/>
      <c r="K66" s="16"/>
      <c r="L66" s="16"/>
      <c r="M66" s="16"/>
      <c r="N66" s="16"/>
      <c r="O66" s="16"/>
    </row>
    <row r="67" spans="2:15" x14ac:dyDescent="0.25">
      <c r="B67" s="16"/>
      <c r="C67" s="16"/>
      <c r="D67" s="16"/>
      <c r="E67" s="16"/>
      <c r="F67" s="16"/>
      <c r="G67" s="16"/>
      <c r="H67" s="78"/>
      <c r="I67" s="78"/>
      <c r="J67" s="16"/>
      <c r="K67" s="16"/>
      <c r="L67" s="16"/>
      <c r="M67" s="16"/>
      <c r="N67" s="16"/>
      <c r="O67" s="16"/>
    </row>
    <row r="68" spans="2:15" x14ac:dyDescent="0.25">
      <c r="B68" s="16"/>
      <c r="C68" s="16"/>
      <c r="D68" s="16"/>
      <c r="E68" s="16"/>
      <c r="F68" s="16"/>
      <c r="G68" s="16"/>
      <c r="H68" s="78"/>
      <c r="I68" s="78"/>
      <c r="J68" s="16"/>
      <c r="K68" s="16"/>
    </row>
    <row r="69" spans="2:15" x14ac:dyDescent="0.25">
      <c r="B69" s="16"/>
      <c r="C69" s="16"/>
      <c r="D69" s="16"/>
      <c r="E69" s="16"/>
      <c r="F69" s="16"/>
      <c r="G69" s="16"/>
      <c r="H69" s="78"/>
      <c r="I69" s="78"/>
      <c r="J69" s="16"/>
      <c r="K69" s="16"/>
    </row>
    <row r="70" spans="2:15" x14ac:dyDescent="0.25">
      <c r="B70" s="16"/>
      <c r="C70" s="16"/>
      <c r="D70" s="16"/>
      <c r="E70" s="16"/>
      <c r="F70" s="16"/>
      <c r="G70" s="16"/>
      <c r="H70" s="78"/>
      <c r="I70" s="78"/>
      <c r="J70" s="16"/>
      <c r="K70" s="16"/>
    </row>
    <row r="71" spans="2:15" x14ac:dyDescent="0.25">
      <c r="B71" s="16"/>
      <c r="C71" s="16"/>
      <c r="D71" s="16"/>
      <c r="E71" s="16"/>
      <c r="F71" s="16"/>
      <c r="G71" s="16"/>
      <c r="H71" s="78"/>
      <c r="I71" s="78"/>
      <c r="J71" s="16"/>
      <c r="K71" s="16"/>
    </row>
    <row r="72" spans="2:15" x14ac:dyDescent="0.25">
      <c r="B72" s="16"/>
      <c r="C72" s="16"/>
      <c r="D72" s="16"/>
      <c r="E72" s="16"/>
      <c r="F72" s="16"/>
      <c r="G72" s="16"/>
      <c r="H72" s="78"/>
      <c r="I72" s="78"/>
      <c r="J72" s="16"/>
      <c r="K72" s="16"/>
    </row>
    <row r="73" spans="2:15" x14ac:dyDescent="0.25">
      <c r="B73" s="16"/>
      <c r="C73" s="16"/>
      <c r="D73" s="16"/>
      <c r="E73" s="16"/>
      <c r="F73" s="16"/>
      <c r="G73" s="16"/>
      <c r="H73" s="78"/>
      <c r="I73" s="78"/>
      <c r="J73" s="16"/>
      <c r="K73" s="16"/>
    </row>
    <row r="74" spans="2:15" x14ac:dyDescent="0.25">
      <c r="B74" s="16"/>
      <c r="C74" s="16"/>
      <c r="D74" s="16"/>
      <c r="E74" s="16"/>
      <c r="F74" s="16"/>
      <c r="G74" s="16"/>
      <c r="H74" s="78"/>
      <c r="I74" s="78"/>
      <c r="J74" s="16"/>
      <c r="K74" s="16"/>
    </row>
    <row r="75" spans="2:15" x14ac:dyDescent="0.25">
      <c r="B75" s="16"/>
      <c r="C75" s="16"/>
      <c r="D75" s="16"/>
      <c r="E75" s="16"/>
      <c r="F75" s="16"/>
      <c r="G75" s="16"/>
      <c r="H75" s="78"/>
      <c r="I75" s="78"/>
      <c r="J75" s="16"/>
      <c r="K75" s="16"/>
    </row>
    <row r="76" spans="2:15" x14ac:dyDescent="0.25">
      <c r="B76" s="16"/>
      <c r="C76" s="16"/>
      <c r="D76" s="16"/>
      <c r="E76" s="16"/>
      <c r="F76" s="16"/>
      <c r="G76" s="16"/>
      <c r="H76" s="78"/>
      <c r="I76" s="78"/>
      <c r="J76" s="16"/>
      <c r="K76" s="16"/>
    </row>
    <row r="77" spans="2:15" x14ac:dyDescent="0.25">
      <c r="B77" s="16"/>
      <c r="C77" s="16"/>
      <c r="D77" s="16"/>
      <c r="E77" s="16"/>
      <c r="F77" s="16"/>
      <c r="G77" s="16"/>
      <c r="H77" s="78"/>
      <c r="I77" s="78"/>
      <c r="J77" s="16"/>
      <c r="K77" s="16"/>
    </row>
    <row r="78" spans="2:15" x14ac:dyDescent="0.25">
      <c r="B78" s="16"/>
      <c r="C78" s="16"/>
      <c r="D78" s="16"/>
      <c r="E78" s="16"/>
      <c r="F78" s="16"/>
      <c r="G78" s="16"/>
      <c r="H78" s="78"/>
      <c r="I78" s="78"/>
      <c r="J78" s="16"/>
      <c r="K78" s="16"/>
    </row>
    <row r="79" spans="2:15" x14ac:dyDescent="0.25">
      <c r="B79" s="16"/>
      <c r="C79" s="16"/>
      <c r="D79" s="16"/>
      <c r="E79" s="16"/>
      <c r="F79" s="16"/>
      <c r="G79" s="16"/>
      <c r="H79" s="78"/>
      <c r="I79" s="78"/>
      <c r="J79" s="16"/>
      <c r="K79" s="16"/>
    </row>
    <row r="80" spans="2:15" x14ac:dyDescent="0.25">
      <c r="B80" s="16"/>
      <c r="C80" s="16"/>
      <c r="D80" s="16"/>
      <c r="E80" s="16"/>
      <c r="F80" s="16"/>
      <c r="G80" s="16"/>
      <c r="H80" s="78"/>
      <c r="I80" s="78"/>
      <c r="J80" s="16"/>
      <c r="K80" s="16"/>
    </row>
    <row r="81" spans="2:11" x14ac:dyDescent="0.25">
      <c r="B81" s="16"/>
      <c r="C81" s="16"/>
      <c r="D81" s="16"/>
      <c r="E81" s="16"/>
      <c r="F81" s="16"/>
      <c r="G81" s="16"/>
      <c r="H81" s="78"/>
      <c r="I81" s="78"/>
      <c r="J81" s="16"/>
      <c r="K81" s="16"/>
    </row>
    <row r="82" spans="2:11" x14ac:dyDescent="0.25">
      <c r="B82" s="16"/>
      <c r="C82" s="16"/>
      <c r="D82" s="16"/>
      <c r="E82" s="16"/>
      <c r="F82" s="16"/>
      <c r="G82" s="16"/>
      <c r="H82" s="78"/>
      <c r="I82" s="78"/>
      <c r="J82" s="16"/>
      <c r="K82" s="16"/>
    </row>
    <row r="83" spans="2:11" x14ac:dyDescent="0.25">
      <c r="B83" s="16"/>
      <c r="C83" s="16"/>
      <c r="D83" s="16"/>
      <c r="E83" s="16"/>
      <c r="F83" s="16"/>
      <c r="G83" s="16"/>
      <c r="H83" s="78"/>
      <c r="I83" s="78"/>
      <c r="J83" s="16"/>
      <c r="K83" s="16"/>
    </row>
    <row r="84" spans="2:11" x14ac:dyDescent="0.25">
      <c r="B84" s="16"/>
      <c r="C84" s="16"/>
      <c r="D84" s="16"/>
      <c r="E84" s="16"/>
      <c r="F84" s="16"/>
      <c r="G84" s="16"/>
      <c r="H84" s="78"/>
      <c r="I84" s="78"/>
      <c r="J84" s="16"/>
      <c r="K84" s="16"/>
    </row>
    <row r="85" spans="2:11" x14ac:dyDescent="0.25">
      <c r="B85" s="16"/>
      <c r="C85" s="16"/>
      <c r="D85" s="16"/>
      <c r="E85" s="16"/>
      <c r="F85" s="16"/>
      <c r="G85" s="16"/>
      <c r="H85" s="78"/>
      <c r="I85" s="78"/>
      <c r="J85" s="16"/>
      <c r="K85" s="16"/>
    </row>
    <row r="86" spans="2:11" x14ac:dyDescent="0.25">
      <c r="B86" s="16"/>
      <c r="C86" s="16"/>
      <c r="D86" s="16"/>
      <c r="E86" s="16"/>
      <c r="F86" s="16"/>
      <c r="G86" s="16"/>
      <c r="H86" s="78"/>
      <c r="I86" s="78"/>
      <c r="J86" s="16"/>
      <c r="K86" s="16"/>
    </row>
    <row r="87" spans="2:11" x14ac:dyDescent="0.25">
      <c r="B87" s="16"/>
      <c r="C87" s="16"/>
      <c r="D87" s="16"/>
      <c r="E87" s="16"/>
      <c r="F87" s="16"/>
      <c r="G87" s="16"/>
      <c r="H87" s="78"/>
      <c r="I87" s="78"/>
      <c r="J87" s="16"/>
      <c r="K87" s="16"/>
    </row>
    <row r="88" spans="2:11" x14ac:dyDescent="0.25">
      <c r="B88" s="16"/>
      <c r="C88" s="16"/>
      <c r="D88" s="16"/>
      <c r="E88" s="16"/>
      <c r="F88" s="16"/>
      <c r="G88" s="16"/>
      <c r="H88" s="78"/>
      <c r="I88" s="78"/>
      <c r="J88" s="16"/>
      <c r="K88" s="16"/>
    </row>
    <row r="89" spans="2:11" x14ac:dyDescent="0.25">
      <c r="B89" s="16"/>
      <c r="C89" s="16"/>
      <c r="D89" s="16"/>
      <c r="E89" s="16"/>
      <c r="F89" s="16"/>
      <c r="G89" s="16"/>
      <c r="H89" s="78"/>
      <c r="I89" s="78"/>
      <c r="J89" s="16"/>
      <c r="K89" s="16"/>
    </row>
    <row r="90" spans="2:11" x14ac:dyDescent="0.25">
      <c r="B90" s="16"/>
      <c r="C90" s="16"/>
      <c r="D90" s="16"/>
      <c r="E90" s="16"/>
      <c r="F90" s="16"/>
      <c r="G90" s="16"/>
      <c r="H90" s="78"/>
      <c r="I90" s="78"/>
      <c r="J90" s="16"/>
      <c r="K90" s="16"/>
    </row>
    <row r="91" spans="2:11" x14ac:dyDescent="0.25">
      <c r="B91" s="16"/>
      <c r="C91" s="16"/>
      <c r="D91" s="16"/>
      <c r="E91" s="16"/>
      <c r="F91" s="16"/>
      <c r="G91" s="16"/>
      <c r="H91" s="78"/>
      <c r="I91" s="78"/>
      <c r="J91" s="16"/>
      <c r="K91" s="16"/>
    </row>
    <row r="92" spans="2:11" x14ac:dyDescent="0.25">
      <c r="B92" s="16"/>
      <c r="C92" s="16"/>
      <c r="D92" s="16"/>
      <c r="E92" s="16"/>
      <c r="F92" s="16"/>
      <c r="G92" s="16"/>
      <c r="H92" s="78"/>
      <c r="I92" s="78"/>
      <c r="J92" s="16"/>
      <c r="K92" s="16"/>
    </row>
    <row r="93" spans="2:11" x14ac:dyDescent="0.25">
      <c r="B93" s="16"/>
      <c r="C93" s="16"/>
      <c r="D93" s="16"/>
      <c r="E93" s="16"/>
      <c r="F93" s="16"/>
      <c r="G93" s="16"/>
      <c r="H93" s="78"/>
      <c r="I93" s="78"/>
      <c r="J93" s="16"/>
      <c r="K93" s="16"/>
    </row>
    <row r="94" spans="2:11" x14ac:dyDescent="0.25">
      <c r="B94" s="16"/>
      <c r="C94" s="16"/>
      <c r="D94" s="16"/>
      <c r="E94" s="16"/>
      <c r="F94" s="16"/>
      <c r="G94" s="16"/>
      <c r="H94" s="78"/>
      <c r="I94" s="78"/>
      <c r="J94" s="16"/>
      <c r="K94" s="16"/>
    </row>
    <row r="95" spans="2:11" x14ac:dyDescent="0.25">
      <c r="B95" s="16"/>
      <c r="C95" s="16"/>
      <c r="D95" s="16"/>
      <c r="E95" s="16"/>
      <c r="F95" s="16"/>
      <c r="G95" s="16"/>
      <c r="H95" s="78"/>
      <c r="I95" s="78"/>
      <c r="J95" s="16"/>
      <c r="K95" s="16"/>
    </row>
    <row r="96" spans="2:11" x14ac:dyDescent="0.25">
      <c r="B96" s="16"/>
      <c r="C96" s="16"/>
      <c r="D96" s="16"/>
      <c r="E96" s="16"/>
      <c r="F96" s="16"/>
      <c r="G96" s="16"/>
      <c r="H96" s="78"/>
      <c r="I96" s="78"/>
      <c r="J96" s="16"/>
      <c r="K96" s="16"/>
    </row>
    <row r="97" spans="2:11" x14ac:dyDescent="0.25">
      <c r="B97" s="16"/>
      <c r="C97" s="16"/>
      <c r="D97" s="16"/>
      <c r="E97" s="16"/>
      <c r="F97" s="16"/>
      <c r="G97" s="16"/>
      <c r="H97" s="78"/>
      <c r="I97" s="78"/>
      <c r="J97" s="16"/>
      <c r="K97" s="16"/>
    </row>
    <row r="98" spans="2:11" x14ac:dyDescent="0.25">
      <c r="B98" s="16"/>
      <c r="C98" s="16"/>
      <c r="D98" s="16"/>
      <c r="E98" s="16"/>
      <c r="F98" s="16"/>
      <c r="G98" s="16"/>
      <c r="H98" s="78"/>
      <c r="I98" s="78"/>
      <c r="J98" s="16"/>
      <c r="K98" s="16"/>
    </row>
    <row r="99" spans="2:11" x14ac:dyDescent="0.25">
      <c r="B99" s="16"/>
      <c r="C99" s="16"/>
      <c r="D99" s="16"/>
      <c r="E99" s="16"/>
      <c r="F99" s="16"/>
      <c r="G99" s="16"/>
      <c r="H99" s="78"/>
      <c r="I99" s="78"/>
      <c r="J99" s="16"/>
      <c r="K99" s="16"/>
    </row>
    <row r="100" spans="2:11" x14ac:dyDescent="0.25">
      <c r="B100" s="16"/>
      <c r="C100" s="16"/>
      <c r="D100" s="16"/>
      <c r="E100" s="16"/>
      <c r="F100" s="16"/>
      <c r="G100" s="16"/>
      <c r="H100" s="78"/>
      <c r="I100" s="78"/>
      <c r="J100" s="16"/>
      <c r="K100" s="16"/>
    </row>
    <row r="101" spans="2:11" x14ac:dyDescent="0.25">
      <c r="B101" s="16"/>
      <c r="C101" s="16"/>
      <c r="D101" s="16"/>
      <c r="E101" s="16"/>
      <c r="F101" s="16"/>
      <c r="G101" s="16"/>
      <c r="H101" s="78"/>
      <c r="I101" s="78"/>
      <c r="J101" s="16"/>
      <c r="K101" s="16"/>
    </row>
    <row r="102" spans="2:11" x14ac:dyDescent="0.25">
      <c r="B102" s="16"/>
      <c r="C102" s="16"/>
      <c r="D102" s="16"/>
      <c r="E102" s="16"/>
      <c r="F102" s="16"/>
      <c r="G102" s="16"/>
      <c r="H102" s="78"/>
      <c r="I102" s="78"/>
      <c r="J102" s="16"/>
      <c r="K102" s="16"/>
    </row>
    <row r="103" spans="2:11" x14ac:dyDescent="0.25">
      <c r="B103" s="16"/>
      <c r="C103" s="16"/>
      <c r="D103" s="16"/>
      <c r="E103" s="16"/>
      <c r="F103" s="16"/>
      <c r="G103" s="16"/>
      <c r="H103" s="78"/>
      <c r="I103" s="78"/>
      <c r="J103" s="16"/>
      <c r="K103" s="16"/>
    </row>
    <row r="104" spans="2:11" x14ac:dyDescent="0.25">
      <c r="B104" s="16"/>
      <c r="C104" s="16"/>
      <c r="D104" s="16"/>
      <c r="E104" s="16"/>
      <c r="F104" s="16"/>
      <c r="G104" s="16"/>
      <c r="H104" s="78"/>
      <c r="I104" s="78"/>
      <c r="J104" s="16"/>
      <c r="K104" s="16"/>
    </row>
    <row r="105" spans="2:11" x14ac:dyDescent="0.25">
      <c r="B105" s="16"/>
      <c r="C105" s="16"/>
      <c r="D105" s="16"/>
      <c r="E105" s="16"/>
      <c r="F105" s="16"/>
      <c r="G105" s="16"/>
      <c r="H105" s="78"/>
      <c r="I105" s="78"/>
      <c r="J105" s="16"/>
      <c r="K105" s="16"/>
    </row>
    <row r="106" spans="2:11" x14ac:dyDescent="0.25">
      <c r="B106" s="16"/>
      <c r="C106" s="16"/>
      <c r="D106" s="16"/>
      <c r="E106" s="16"/>
      <c r="F106" s="16"/>
      <c r="G106" s="16"/>
      <c r="H106" s="78"/>
      <c r="I106" s="78"/>
      <c r="J106" s="16"/>
      <c r="K106" s="16"/>
    </row>
    <row r="107" spans="2:11" x14ac:dyDescent="0.25">
      <c r="B107" s="16"/>
      <c r="C107" s="16"/>
      <c r="D107" s="16"/>
      <c r="E107" s="16"/>
      <c r="F107" s="16"/>
      <c r="G107" s="16"/>
      <c r="H107" s="78"/>
      <c r="I107" s="78"/>
      <c r="J107" s="16"/>
      <c r="K107" s="16"/>
    </row>
    <row r="108" spans="2:11" x14ac:dyDescent="0.25">
      <c r="B108" s="16"/>
      <c r="C108" s="16"/>
      <c r="D108" s="16"/>
      <c r="E108" s="16"/>
      <c r="F108" s="16"/>
      <c r="G108" s="16"/>
      <c r="H108" s="78"/>
      <c r="I108" s="78"/>
    </row>
    <row r="109" spans="2:11" x14ac:dyDescent="0.25">
      <c r="B109" s="16"/>
      <c r="H109" s="78"/>
      <c r="I109" s="78"/>
    </row>
    <row r="110" spans="2:11" x14ac:dyDescent="0.25">
      <c r="B110" s="16"/>
      <c r="H110" s="78"/>
      <c r="I110" s="78"/>
    </row>
    <row r="111" spans="2:11" x14ac:dyDescent="0.25">
      <c r="B111" s="16"/>
      <c r="H111" s="78"/>
      <c r="I111" s="78"/>
    </row>
    <row r="112" spans="2:11" x14ac:dyDescent="0.25">
      <c r="B112" s="16"/>
      <c r="H112" s="78"/>
      <c r="I112" s="78"/>
    </row>
    <row r="113" spans="2:9" x14ac:dyDescent="0.25">
      <c r="B113" s="16"/>
      <c r="H113" s="78"/>
      <c r="I113" s="78"/>
    </row>
    <row r="114" spans="2:9" x14ac:dyDescent="0.25">
      <c r="B114" s="16"/>
      <c r="H114" s="78"/>
      <c r="I114" s="78"/>
    </row>
    <row r="115" spans="2:9" x14ac:dyDescent="0.25">
      <c r="B115" s="16"/>
      <c r="H115" s="78"/>
      <c r="I115" s="78"/>
    </row>
    <row r="116" spans="2:9" x14ac:dyDescent="0.25">
      <c r="B116" s="16"/>
      <c r="H116" s="78"/>
      <c r="I116" s="78"/>
    </row>
    <row r="117" spans="2:9" x14ac:dyDescent="0.25">
      <c r="B117" s="16"/>
      <c r="H117" s="78"/>
      <c r="I117" s="78"/>
    </row>
    <row r="118" spans="2:9" x14ac:dyDescent="0.25">
      <c r="B118" s="16"/>
      <c r="H118" s="78"/>
      <c r="I118" s="78"/>
    </row>
    <row r="119" spans="2:9" x14ac:dyDescent="0.25">
      <c r="B119" s="16"/>
      <c r="H119" s="78"/>
      <c r="I119" s="78"/>
    </row>
    <row r="120" spans="2:9" x14ac:dyDescent="0.25">
      <c r="B120" s="16"/>
      <c r="H120" s="78"/>
      <c r="I120" s="78"/>
    </row>
    <row r="121" spans="2:9" x14ac:dyDescent="0.25">
      <c r="B121" s="16"/>
      <c r="H121" s="78"/>
      <c r="I121" s="78"/>
    </row>
    <row r="122" spans="2:9" x14ac:dyDescent="0.25">
      <c r="B122" s="16"/>
      <c r="H122" s="78"/>
      <c r="I122" s="78"/>
    </row>
    <row r="123" spans="2:9" x14ac:dyDescent="0.25">
      <c r="B123" s="16"/>
      <c r="H123" s="78"/>
      <c r="I123" s="78"/>
    </row>
    <row r="124" spans="2:9" x14ac:dyDescent="0.25">
      <c r="B124" s="16"/>
      <c r="H124" s="78"/>
      <c r="I124" s="78"/>
    </row>
    <row r="125" spans="2:9" x14ac:dyDescent="0.25">
      <c r="B125" s="16"/>
      <c r="H125" s="78"/>
      <c r="I125" s="78"/>
    </row>
    <row r="126" spans="2:9" x14ac:dyDescent="0.25">
      <c r="B126" s="16"/>
      <c r="H126" s="78"/>
      <c r="I126" s="78"/>
    </row>
    <row r="127" spans="2:9" x14ac:dyDescent="0.25">
      <c r="B127" s="16"/>
      <c r="H127" s="78"/>
      <c r="I127" s="78"/>
    </row>
    <row r="128" spans="2:9" x14ac:dyDescent="0.25">
      <c r="B128" s="16"/>
      <c r="H128" s="78"/>
      <c r="I128" s="78"/>
    </row>
    <row r="129" spans="2:9" x14ac:dyDescent="0.25">
      <c r="B129" s="16"/>
      <c r="H129" s="78"/>
      <c r="I129" s="78"/>
    </row>
    <row r="130" spans="2:9" x14ac:dyDescent="0.25">
      <c r="B130" s="16"/>
      <c r="H130" s="78"/>
      <c r="I130" s="78"/>
    </row>
    <row r="131" spans="2:9" x14ac:dyDescent="0.25">
      <c r="H131" s="78"/>
      <c r="I131" s="78"/>
    </row>
    <row r="132" spans="2:9" x14ac:dyDescent="0.25">
      <c r="H132" s="78"/>
      <c r="I132" s="78"/>
    </row>
    <row r="133" spans="2:9" x14ac:dyDescent="0.25">
      <c r="H133" s="78"/>
      <c r="I133" s="78"/>
    </row>
    <row r="134" spans="2:9" x14ac:dyDescent="0.25">
      <c r="H134" s="78"/>
      <c r="I134" s="78"/>
    </row>
    <row r="135" spans="2:9" x14ac:dyDescent="0.25">
      <c r="H135" s="78"/>
      <c r="I135" s="78"/>
    </row>
  </sheetData>
  <phoneticPr fontId="0" type="noConversion"/>
  <pageMargins left="0.75" right="0.75" top="1" bottom="1" header="0.5" footer="0.5"/>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130"/>
  <sheetViews>
    <sheetView topLeftCell="A31" workbookViewId="0">
      <selection activeCell="G64" sqref="G64"/>
    </sheetView>
  </sheetViews>
  <sheetFormatPr defaultRowHeight="12.5" x14ac:dyDescent="0.25"/>
  <cols>
    <col min="1" max="1" width="7.26953125" customWidth="1"/>
    <col min="2" max="2" width="16.26953125" customWidth="1"/>
    <col min="3" max="5" width="11.7265625" customWidth="1"/>
    <col min="6" max="6" width="8.7265625" bestFit="1" customWidth="1"/>
    <col min="7" max="7" width="12.26953125" customWidth="1"/>
    <col min="8" max="8" width="4.453125" customWidth="1"/>
    <col min="9" max="9" width="7.26953125" customWidth="1"/>
    <col min="10" max="12" width="11.7265625" customWidth="1"/>
    <col min="13" max="13" width="12.26953125" customWidth="1"/>
  </cols>
  <sheetData>
    <row r="1" spans="1:13" x14ac:dyDescent="0.25">
      <c r="B1" s="35" t="s">
        <v>51</v>
      </c>
      <c r="C1" s="35" t="s">
        <v>51</v>
      </c>
      <c r="D1" s="35" t="s">
        <v>52</v>
      </c>
      <c r="E1" s="35" t="s">
        <v>52</v>
      </c>
      <c r="F1" t="s">
        <v>26</v>
      </c>
      <c r="G1" t="s">
        <v>91</v>
      </c>
    </row>
    <row r="2" spans="1:13" x14ac:dyDescent="0.25">
      <c r="A2" t="s">
        <v>14</v>
      </c>
      <c r="B2" s="35"/>
      <c r="C2" t="s">
        <v>21</v>
      </c>
      <c r="E2" t="s">
        <v>21</v>
      </c>
      <c r="F2" t="s">
        <v>78</v>
      </c>
      <c r="G2" s="35" t="s">
        <v>22</v>
      </c>
      <c r="J2" s="35" t="s">
        <v>51</v>
      </c>
      <c r="K2" s="35" t="s">
        <v>52</v>
      </c>
      <c r="L2" s="16" t="s">
        <v>156</v>
      </c>
      <c r="M2" t="s">
        <v>91</v>
      </c>
    </row>
    <row r="3" spans="1:13" x14ac:dyDescent="0.25">
      <c r="A3">
        <v>0</v>
      </c>
      <c r="B3">
        <v>0</v>
      </c>
      <c r="C3" s="16">
        <f>IF('B Fasad och del av utemiljö'!$C$8+1&gt;A3,B3,0)</f>
        <v>0</v>
      </c>
      <c r="D3" s="16">
        <v>0</v>
      </c>
      <c r="E3" s="16">
        <v>0</v>
      </c>
      <c r="F3" s="16"/>
      <c r="G3" s="16"/>
      <c r="I3">
        <v>0</v>
      </c>
      <c r="J3" s="16"/>
      <c r="K3" s="16">
        <v>0</v>
      </c>
      <c r="L3" s="16">
        <f>'C Lång skärm'!D44*-1</f>
        <v>0</v>
      </c>
      <c r="M3" s="16"/>
    </row>
    <row r="4" spans="1:13" x14ac:dyDescent="0.25">
      <c r="A4">
        <v>1</v>
      </c>
      <c r="B4" s="16">
        <f>'C Lång skärm'!$C$50*(1/(1+'C Lång skärm'!$C$10)^A4)*(('C Lång skärm'!$C$12+1)^NuvLångSkärm!A4)</f>
        <v>111872.42095484087</v>
      </c>
      <c r="C4" s="16">
        <f>IF('C Lång skärm'!$C$8+1&gt;A4,B4,0)</f>
        <v>111872.42095484087</v>
      </c>
      <c r="D4" s="16">
        <f>'C Lång skärm'!$C$51*(1/(1+'C Lång skärm'!$C$10)^A4)*(('C Lång skärm'!$C$12+1)^NuvLångSkärm!A4)</f>
        <v>104101.64660127387</v>
      </c>
      <c r="E4" s="16">
        <f>IF('C Lång skärm'!$C$8+1&gt;A4,D4,0)</f>
        <v>104101.64660127387</v>
      </c>
      <c r="F4" s="16">
        <f>'C Lång skärm'!$C$40/(POWER(1+'C Lång skärm'!$C$10,A4))</f>
        <v>40898.550724637687</v>
      </c>
      <c r="G4" s="16">
        <f>IF('C Lång skärm'!$C$8+1&gt;A4,F4,0)</f>
        <v>40898.550724637687</v>
      </c>
      <c r="I4">
        <v>1</v>
      </c>
      <c r="J4" s="16">
        <f t="shared" ref="J4:J45" si="0">C4</f>
        <v>111872.42095484087</v>
      </c>
      <c r="K4" s="16">
        <f t="shared" ref="K4:K45" si="1">E4</f>
        <v>104101.64660127387</v>
      </c>
      <c r="L4" s="16"/>
      <c r="M4" s="16">
        <f t="shared" ref="M4:M45" si="2">G4*-1</f>
        <v>-40898.550724637687</v>
      </c>
    </row>
    <row r="5" spans="1:13" x14ac:dyDescent="0.25">
      <c r="A5">
        <v>2</v>
      </c>
      <c r="B5" s="16">
        <f>'C Lång skärm'!$C$50*(1/(1+'C Lång skärm'!$C$10)^A5)*(('C Lång skärm'!$C$12+1)^NuvLångSkärm!A5)</f>
        <v>109332.32250804016</v>
      </c>
      <c r="C5" s="16">
        <f>IF('C Lång skärm'!$C$8+1&gt;A5,B5,0)</f>
        <v>109332.32250804016</v>
      </c>
      <c r="D5" s="16">
        <f>'C Lång skärm'!$C$51*(1/(1+'C Lång skärm'!$C$10)^A5)*(('C Lång skärm'!$C$12+1)^NuvLångSkärm!A5)</f>
        <v>101737.98602626911</v>
      </c>
      <c r="E5" s="16">
        <f>IF('C Lång skärm'!$C$8+1&gt;A5,D5,0)</f>
        <v>101737.98602626911</v>
      </c>
      <c r="F5" s="16">
        <f>'C Lång skärm'!$C$40/(POWER(1+'C Lång skärm'!$C$10,A5))</f>
        <v>39515.507946509839</v>
      </c>
      <c r="G5" s="16">
        <f>IF('C Lång skärm'!$C$8+1&gt;A5,F5,0)</f>
        <v>39515.507946509839</v>
      </c>
      <c r="I5">
        <v>2</v>
      </c>
      <c r="J5" s="16">
        <f t="shared" si="0"/>
        <v>109332.32250804016</v>
      </c>
      <c r="K5" s="16">
        <f t="shared" si="1"/>
        <v>101737.98602626911</v>
      </c>
      <c r="L5" s="16"/>
      <c r="M5" s="16">
        <f t="shared" si="2"/>
        <v>-39515.507946509839</v>
      </c>
    </row>
    <row r="6" spans="1:13" x14ac:dyDescent="0.25">
      <c r="A6">
        <v>3</v>
      </c>
      <c r="B6" s="16">
        <f>'C Lång skärm'!$C$50*(1/(1+'C Lång skärm'!$C$10)^A6)*(('C Lång skärm'!$C$12+1)^NuvLångSkärm!A6)</f>
        <v>106849.89779408951</v>
      </c>
      <c r="C6" s="16">
        <f>IF('C Lång skärm'!$C$8+1&gt;A6,B6,0)</f>
        <v>106849.89779408951</v>
      </c>
      <c r="D6" s="16">
        <f>'C Lång skärm'!$C$51*(1/(1+'C Lång skärm'!$C$10)^A6)*(('C Lång skärm'!$C$12+1)^NuvLångSkärm!A6)</f>
        <v>99427.993106832102</v>
      </c>
      <c r="E6" s="16">
        <f>IF('C Lång skärm'!$C$8+1&gt;A6,D6,0)</f>
        <v>99427.993106832102</v>
      </c>
      <c r="F6" s="16">
        <f>'C Lång skärm'!$C$40/(POWER(1+'C Lång skärm'!$C$10,A6))</f>
        <v>38179.23473092739</v>
      </c>
      <c r="G6" s="16">
        <f>IF('C Lång skärm'!$C$8+1&gt;A6,F6,0)</f>
        <v>38179.23473092739</v>
      </c>
      <c r="I6">
        <v>3</v>
      </c>
      <c r="J6" s="16">
        <f t="shared" si="0"/>
        <v>106849.89779408951</v>
      </c>
      <c r="K6" s="16">
        <f t="shared" si="1"/>
        <v>99427.993106832102</v>
      </c>
      <c r="L6" s="16"/>
      <c r="M6" s="16">
        <f t="shared" si="2"/>
        <v>-38179.23473092739</v>
      </c>
    </row>
    <row r="7" spans="1:13" x14ac:dyDescent="0.25">
      <c r="A7">
        <v>4</v>
      </c>
      <c r="B7" s="16">
        <f>'C Lång skärm'!$C$50*(1/(1+'C Lång skärm'!$C$10)^A7)*(('C Lång skärm'!$C$12+1)^NuvLångSkärm!A7)</f>
        <v>104423.83731277444</v>
      </c>
      <c r="C7" s="16">
        <f>IF('C Lång skärm'!$C$8+1&gt;A7,B7,0)</f>
        <v>104423.83731277444</v>
      </c>
      <c r="D7" s="16">
        <f>'C Lång skärm'!$C$51*(1/(1+'C Lång skärm'!$C$10)^A7)*(('C Lång skärm'!$C$12+1)^NuvLångSkärm!A7)</f>
        <v>97170.449301991001</v>
      </c>
      <c r="E7" s="16">
        <f>IF('C Lång skärm'!$C$8+1&gt;A7,D7,0)</f>
        <v>97170.449301991001</v>
      </c>
      <c r="F7" s="16">
        <f>'C Lång skärm'!$C$40/(POWER(1+'C Lång skärm'!$C$10,A7))</f>
        <v>36888.149498480569</v>
      </c>
      <c r="G7" s="16">
        <f>IF('C Lång skärm'!$C$8+1&gt;A7,F7,0)</f>
        <v>36888.149498480569</v>
      </c>
      <c r="I7">
        <v>4</v>
      </c>
      <c r="J7" s="16">
        <f t="shared" si="0"/>
        <v>104423.83731277444</v>
      </c>
      <c r="K7" s="16">
        <f t="shared" si="1"/>
        <v>97170.449301991001</v>
      </c>
      <c r="L7" s="16"/>
      <c r="M7" s="16">
        <f t="shared" si="2"/>
        <v>-36888.149498480569</v>
      </c>
    </row>
    <row r="8" spans="1:13" x14ac:dyDescent="0.25">
      <c r="A8">
        <v>5</v>
      </c>
      <c r="B8" s="16">
        <f>'C Lång skärm'!$C$50*(1/(1+'C Lång skärm'!$C$10)^A8)*(('C Lång skärm'!$C$12+1)^NuvLångSkärm!A8)</f>
        <v>102052.86129649408</v>
      </c>
      <c r="C8" s="16">
        <f>IF('C Lång skärm'!$C$8+1&gt;A8,B8,0)</f>
        <v>102052.86129649408</v>
      </c>
      <c r="D8" s="16">
        <f>'C Lång skärm'!$C$51*(1/(1+'C Lång skärm'!$C$10)^A8)*(('C Lång skärm'!$C$12+1)^NuvLångSkärm!A8)</f>
        <v>94964.163738129384</v>
      </c>
      <c r="E8" s="16">
        <f>IF('C Lång skärm'!$C$8+1&gt;A8,D8,0)</f>
        <v>94964.163738129384</v>
      </c>
      <c r="F8" s="16">
        <f>'C Lång skärm'!$C$40/(POWER(1+'C Lång skärm'!$C$10,A8))</f>
        <v>35640.724153121329</v>
      </c>
      <c r="G8" s="16">
        <f>IF('C Lång skärm'!$C$8+1&gt;A8,F8,0)</f>
        <v>35640.724153121329</v>
      </c>
      <c r="I8">
        <v>5</v>
      </c>
      <c r="J8" s="16">
        <f t="shared" si="0"/>
        <v>102052.86129649408</v>
      </c>
      <c r="K8" s="16">
        <f t="shared" si="1"/>
        <v>94964.163738129384</v>
      </c>
      <c r="L8" s="16"/>
      <c r="M8" s="16">
        <f t="shared" si="2"/>
        <v>-35640.724153121329</v>
      </c>
    </row>
    <row r="9" spans="1:13" x14ac:dyDescent="0.25">
      <c r="A9">
        <v>6</v>
      </c>
      <c r="B9" s="16">
        <f>'C Lång skärm'!$C$50*(1/(1+'C Lång skärm'!$C$10)^A9)*(('C Lång skärm'!$C$12+1)^NuvLångSkärm!A9)</f>
        <v>99735.719035172719</v>
      </c>
      <c r="C9" s="16">
        <f>IF('C Lång skärm'!$C$8+1&gt;A9,B9,0)</f>
        <v>99735.719035172719</v>
      </c>
      <c r="D9" s="16">
        <f>'C Lång skärm'!$C$51*(1/(1+'C Lång skärm'!$C$10)^A9)*(('C Lång skärm'!$C$12+1)^NuvLångSkärm!A9)</f>
        <v>92807.972580790214</v>
      </c>
      <c r="E9" s="16">
        <f>IF('C Lång skärm'!$C$8+1&gt;A9,D9,0)</f>
        <v>92807.972580790214</v>
      </c>
      <c r="F9" s="16">
        <f>'C Lång skärm'!$C$40/(POWER(1+'C Lång skärm'!$C$10,A9))</f>
        <v>34435.482273547175</v>
      </c>
      <c r="G9" s="16">
        <f>IF('C Lång skärm'!$C$8+1&gt;A9,F9,0)</f>
        <v>34435.482273547175</v>
      </c>
      <c r="I9">
        <v>6</v>
      </c>
      <c r="J9" s="16">
        <f t="shared" si="0"/>
        <v>99735.719035172719</v>
      </c>
      <c r="K9" s="16">
        <f t="shared" si="1"/>
        <v>92807.972580790214</v>
      </c>
      <c r="L9" s="16"/>
      <c r="M9" s="16">
        <f t="shared" si="2"/>
        <v>-34435.482273547175</v>
      </c>
    </row>
    <row r="10" spans="1:13" x14ac:dyDescent="0.25">
      <c r="A10">
        <v>7</v>
      </c>
      <c r="B10" s="16">
        <f>'C Lång skärm'!$C$50*(1/(1+'C Lång skärm'!$C$10)^A10)*(('C Lång skärm'!$C$12+1)^NuvLångSkärm!A10)</f>
        <v>97471.188216499722</v>
      </c>
      <c r="C10" s="16">
        <f>IF('C Lång skärm'!$C$8+1&gt;A10,B10,0)</f>
        <v>97471.188216499722</v>
      </c>
      <c r="D10" s="16">
        <f>'C Lång skärm'!$C$51*(1/(1+'C Lång skärm'!$C$10)^A10)*(('C Lång skärm'!$C$12+1)^NuvLångSkärm!A10)</f>
        <v>90700.738420743306</v>
      </c>
      <c r="E10" s="16">
        <f>IF('C Lång skärm'!$C$8+1&gt;A10,D10,0)</f>
        <v>90700.738420743306</v>
      </c>
      <c r="F10" s="16">
        <f>'C Lång skärm'!$C$40/(POWER(1+'C Lång skärm'!$C$10,A10))</f>
        <v>33270.997365746065</v>
      </c>
      <c r="G10" s="16">
        <f>IF('C Lång skärm'!$C$8+1&gt;A10,F10,0)</f>
        <v>33270.997365746065</v>
      </c>
      <c r="I10">
        <v>7</v>
      </c>
      <c r="J10" s="16">
        <f t="shared" si="0"/>
        <v>97471.188216499722</v>
      </c>
      <c r="K10" s="16">
        <f t="shared" si="1"/>
        <v>90700.738420743306</v>
      </c>
      <c r="L10" s="16"/>
      <c r="M10" s="16">
        <f t="shared" si="2"/>
        <v>-33270.997365746065</v>
      </c>
    </row>
    <row r="11" spans="1:13" x14ac:dyDescent="0.25">
      <c r="A11">
        <v>8</v>
      </c>
      <c r="B11" s="16">
        <f>'C Lång skärm'!$C$50*(1/(1+'C Lång skärm'!$C$10)^A11)*(('C Lång skärm'!$C$12+1)^NuvLångSkärm!A11)</f>
        <v>95258.074281149282</v>
      </c>
      <c r="C11" s="16">
        <f>IF('C Lång skärm'!$C$8+1&gt;A11,B11,0)</f>
        <v>95258.074281149282</v>
      </c>
      <c r="D11" s="16">
        <f>'C Lång skärm'!$C$51*(1/(1+'C Lång skärm'!$C$10)^A11)*(('C Lång skärm'!$C$12+1)^NuvLångSkärm!A11)</f>
        <v>88641.349673992168</v>
      </c>
      <c r="E11" s="16">
        <f>IF('C Lång skärm'!$C$8+1&gt;A11,D11,0)</f>
        <v>88641.349673992168</v>
      </c>
      <c r="F11" s="16">
        <f>'C Lång skärm'!$C$40/(POWER(1+'C Lång skärm'!$C$10,A11))</f>
        <v>32145.891174633885</v>
      </c>
      <c r="G11" s="16">
        <f>IF('C Lång skärm'!$C$8+1&gt;A11,F11,0)</f>
        <v>32145.891174633885</v>
      </c>
      <c r="I11">
        <v>8</v>
      </c>
      <c r="J11" s="16">
        <f t="shared" si="0"/>
        <v>95258.074281149282</v>
      </c>
      <c r="K11" s="16">
        <f t="shared" si="1"/>
        <v>88641.349673992168</v>
      </c>
      <c r="L11" s="16"/>
      <c r="M11" s="16">
        <f t="shared" si="2"/>
        <v>-32145.891174633885</v>
      </c>
    </row>
    <row r="12" spans="1:13" x14ac:dyDescent="0.25">
      <c r="A12">
        <v>9</v>
      </c>
      <c r="B12" s="16">
        <f>'C Lång skärm'!$C$50*(1/(1+'C Lång skärm'!$C$10)^A12)*(('C Lång skärm'!$C$12+1)^NuvLångSkärm!A12)</f>
        <v>93095.209792640133</v>
      </c>
      <c r="C12" s="16">
        <f>IF('C Lång skärm'!$C$8+1&gt;A12,B12,0)</f>
        <v>93095.209792640133</v>
      </c>
      <c r="D12" s="16">
        <f>'C Lång skärm'!$C$51*(1/(1+'C Lång skärm'!$C$10)^A12)*(('C Lång skärm'!$C$12+1)^NuvLångSkärm!A12)</f>
        <v>86628.719995403953</v>
      </c>
      <c r="E12" s="16">
        <f>IF('C Lång skärm'!$C$8+1&gt;A12,D12,0)</f>
        <v>86628.719995403953</v>
      </c>
      <c r="F12" s="16">
        <f>'C Lång skärm'!$C$40/(POWER(1+'C Lång skärm'!$C$10,A12))</f>
        <v>31058.832052786369</v>
      </c>
      <c r="G12" s="16">
        <f>IF('C Lång skärm'!$C$8+1&gt;A12,F12,0)</f>
        <v>31058.832052786369</v>
      </c>
      <c r="I12">
        <v>9</v>
      </c>
      <c r="J12" s="16">
        <f t="shared" si="0"/>
        <v>93095.209792640133</v>
      </c>
      <c r="K12" s="16">
        <f t="shared" si="1"/>
        <v>86628.719995403953</v>
      </c>
      <c r="L12" s="16"/>
      <c r="M12" s="16">
        <f t="shared" si="2"/>
        <v>-31058.832052786369</v>
      </c>
    </row>
    <row r="13" spans="1:13" x14ac:dyDescent="0.25">
      <c r="A13">
        <v>10</v>
      </c>
      <c r="B13" s="16">
        <f>'C Lång skärm'!$C$50*(1/(1+'C Lång skärm'!$C$10)^A13)*(('C Lång skärm'!$C$12+1)^NuvLångSkärm!A13)</f>
        <v>90981.453821502902</v>
      </c>
      <c r="C13" s="16">
        <f>IF('C Lång skärm'!$C$8+1&gt;A13,B13,0)</f>
        <v>90981.453821502902</v>
      </c>
      <c r="D13" s="16">
        <f>'C Lång skärm'!$C$51*(1/(1+'C Lång skärm'!$C$10)^A13)*(('C Lång skärm'!$C$12+1)^NuvLångSkärm!A13)</f>
        <v>84661.787705653245</v>
      </c>
      <c r="E13" s="16">
        <f>IF('C Lång skärm'!$C$8+1&gt;A13,D13,0)</f>
        <v>84661.787705653245</v>
      </c>
      <c r="F13" s="16">
        <f>'C Lång skärm'!$C$40/(POWER(1+'C Lång skärm'!$C$10,A13))</f>
        <v>30008.533384334656</v>
      </c>
      <c r="G13" s="16">
        <f>IF('C Lång skärm'!$C$8+1&gt;A13,F13,0)</f>
        <v>30008.533384334656</v>
      </c>
      <c r="I13">
        <v>10</v>
      </c>
      <c r="J13" s="16">
        <f t="shared" si="0"/>
        <v>90981.453821502902</v>
      </c>
      <c r="K13" s="16">
        <f t="shared" si="1"/>
        <v>84661.787705653245</v>
      </c>
      <c r="L13" s="16"/>
      <c r="M13" s="16">
        <f t="shared" si="2"/>
        <v>-30008.533384334656</v>
      </c>
    </row>
    <row r="14" spans="1:13" x14ac:dyDescent="0.25">
      <c r="A14">
        <v>11</v>
      </c>
      <c r="B14" s="16">
        <f>'C Lång skärm'!$C$50*(1/(1+'C Lång skärm'!$C$10)^A14)*(('C Lång skärm'!$C$12+1)^NuvLångSkärm!A14)</f>
        <v>88915.691343430139</v>
      </c>
      <c r="C14" s="16">
        <f>IF('C Lång skärm'!$C$8+1&gt;A14,B14,0)</f>
        <v>88915.691343430139</v>
      </c>
      <c r="D14" s="16">
        <f>'C Lång skärm'!$C$51*(1/(1+'C Lång skärm'!$C$10)^A14)*(('C Lång skärm'!$C$12+1)^NuvLångSkärm!A14)</f>
        <v>82739.515231177065</v>
      </c>
      <c r="E14" s="16">
        <f>IF('C Lång skärm'!$C$8+1&gt;A14,D14,0)</f>
        <v>82739.515231177065</v>
      </c>
      <c r="F14" s="16">
        <f>'C Lång skärm'!$C$40/(POWER(1+'C Lång skärm'!$C$10,A14))</f>
        <v>28993.752062159088</v>
      </c>
      <c r="G14" s="16">
        <f>IF('C Lång skärm'!$C$8+1&gt;A14,F14,0)</f>
        <v>28993.752062159088</v>
      </c>
      <c r="I14">
        <v>11</v>
      </c>
      <c r="J14" s="16">
        <f t="shared" si="0"/>
        <v>88915.691343430139</v>
      </c>
      <c r="K14" s="16">
        <f t="shared" si="1"/>
        <v>82739.515231177065</v>
      </c>
      <c r="L14" s="16"/>
      <c r="M14" s="16">
        <f t="shared" si="2"/>
        <v>-28993.752062159088</v>
      </c>
    </row>
    <row r="15" spans="1:13" x14ac:dyDescent="0.25">
      <c r="A15">
        <v>12</v>
      </c>
      <c r="B15" s="16">
        <f>'C Lång skärm'!$C$50*(1/(1+'C Lång skärm'!$C$10)^A15)*(('C Lång skärm'!$C$12+1)^NuvLångSkärm!A15)</f>
        <v>86896.83265109139</v>
      </c>
      <c r="C15" s="16">
        <f>IF('C Lång skärm'!$C$8+1&gt;A15,B15,0)</f>
        <v>86896.83265109139</v>
      </c>
      <c r="D15" s="16">
        <f>'C Lång skärm'!$C$51*(1/(1+'C Lång skärm'!$C$10)^A15)*(('C Lång skärm'!$C$12+1)^NuvLångSkärm!A15)</f>
        <v>80860.88855684601</v>
      </c>
      <c r="E15" s="16">
        <f>IF('C Lång skärm'!$C$8+1&gt;A15,D15,0)</f>
        <v>80860.88855684601</v>
      </c>
      <c r="F15" s="16">
        <f>'C Lång skärm'!$C$40/(POWER(1+'C Lång skärm'!$C$10,A15))</f>
        <v>28013.28701657883</v>
      </c>
      <c r="G15" s="16">
        <f>IF('C Lång skärm'!$C$8+1&gt;A15,F15,0)</f>
        <v>28013.28701657883</v>
      </c>
      <c r="I15">
        <v>12</v>
      </c>
      <c r="J15" s="16">
        <f t="shared" si="0"/>
        <v>86896.83265109139</v>
      </c>
      <c r="K15" s="16">
        <f t="shared" si="1"/>
        <v>80860.88855684601</v>
      </c>
      <c r="L15" s="16"/>
      <c r="M15" s="16">
        <f t="shared" si="2"/>
        <v>-28013.28701657883</v>
      </c>
    </row>
    <row r="16" spans="1:13" x14ac:dyDescent="0.25">
      <c r="A16">
        <v>13</v>
      </c>
      <c r="B16" s="16">
        <f>'C Lång skärm'!$C$50*(1/(1+'C Lång skärm'!$C$10)^A16)*(('C Lång skärm'!$C$12+1)^NuvLångSkärm!A16)</f>
        <v>84923.812779303335</v>
      </c>
      <c r="C16" s="16">
        <f>IF('C Lång skärm'!$C$8+1&gt;A16,B16,0)</f>
        <v>84923.812779303335</v>
      </c>
      <c r="D16" s="16">
        <f>'C Lång skärm'!$C$51*(1/(1+'C Lång skärm'!$C$10)^A16)*(('C Lång skärm'!$C$12+1)^NuvLångSkärm!A16)</f>
        <v>79024.916691062564</v>
      </c>
      <c r="E16" s="16">
        <f>IF('C Lång skärm'!$C$8+1&gt;A16,D16,0)</f>
        <v>79024.916691062564</v>
      </c>
      <c r="F16" s="16">
        <f>'C Lång skärm'!$C$40/(POWER(1+'C Lång skärm'!$C$10,A16))</f>
        <v>27065.977793795977</v>
      </c>
      <c r="G16" s="16">
        <f>IF('C Lång skärm'!$C$8+1&gt;A16,F16,0)</f>
        <v>27065.977793795977</v>
      </c>
      <c r="I16">
        <v>13</v>
      </c>
      <c r="J16" s="16">
        <f t="shared" si="0"/>
        <v>84923.812779303335</v>
      </c>
      <c r="K16" s="16">
        <f t="shared" si="1"/>
        <v>79024.916691062564</v>
      </c>
      <c r="L16" s="16"/>
      <c r="M16" s="16">
        <f t="shared" si="2"/>
        <v>-27065.977793795977</v>
      </c>
    </row>
    <row r="17" spans="1:13" x14ac:dyDescent="0.25">
      <c r="A17">
        <v>14</v>
      </c>
      <c r="B17" s="16">
        <f>'C Lång skärm'!$C$50*(1/(1+'C Lång skärm'!$C$10)^A17)*(('C Lång skärm'!$C$12+1)^NuvLångSkärm!A17)</f>
        <v>82995.590943251533</v>
      </c>
      <c r="C17" s="16">
        <f>IF('C Lång skärm'!$C$8+1&gt;A17,B17,0)</f>
        <v>82995.590943251533</v>
      </c>
      <c r="D17" s="16">
        <f>'C Lång skärm'!$C$51*(1/(1+'C Lång skärm'!$C$10)^A17)*(('C Lång skärm'!$C$12+1)^NuvLångSkärm!A17)</f>
        <v>77230.631143004619</v>
      </c>
      <c r="E17" s="16">
        <f>IF('C Lång skärm'!$C$8+1&gt;A17,D17,0)</f>
        <v>77230.631143004619</v>
      </c>
      <c r="F17" s="16">
        <f>'C Lång skärm'!$C$40/(POWER(1+'C Lång skärm'!$C$10,A17))</f>
        <v>26150.703182411569</v>
      </c>
      <c r="G17" s="16">
        <f>IF('C Lång skärm'!$C$8+1&gt;A17,F17,0)</f>
        <v>26150.703182411569</v>
      </c>
      <c r="I17">
        <v>14</v>
      </c>
      <c r="J17" s="16">
        <f t="shared" si="0"/>
        <v>82995.590943251533</v>
      </c>
      <c r="K17" s="16">
        <f t="shared" si="1"/>
        <v>77230.631143004619</v>
      </c>
      <c r="L17" s="16"/>
      <c r="M17" s="16">
        <f t="shared" si="2"/>
        <v>-26150.703182411569</v>
      </c>
    </row>
    <row r="18" spans="1:13" x14ac:dyDescent="0.25">
      <c r="A18">
        <v>15</v>
      </c>
      <c r="B18" s="16">
        <f>'C Lång skärm'!$C$50*(1/(1+'C Lång skärm'!$C$10)^A18)*(('C Lång skärm'!$C$12+1)^NuvLångSkärm!A18)</f>
        <v>81111.149989467594</v>
      </c>
      <c r="C18" s="16">
        <f>IF('C Lång skärm'!$C$8+1&gt;A18,B18,0)</f>
        <v>81111.149989467594</v>
      </c>
      <c r="D18" s="16">
        <f>'C Lång skärm'!$C$51*(1/(1+'C Lång skärm'!$C$10)^A18)*(('C Lång skärm'!$C$12+1)^NuvLångSkärm!A18)</f>
        <v>75477.085411738357</v>
      </c>
      <c r="E18" s="16">
        <f>IF('C Lång skärm'!$C$8+1&gt;A18,D18,0)</f>
        <v>75477.085411738357</v>
      </c>
      <c r="F18" s="16">
        <f>'C Lång skärm'!$C$40/(POWER(1+'C Lång skärm'!$C$10,A18))</f>
        <v>25266.379886387993</v>
      </c>
      <c r="G18" s="16">
        <f>IF('C Lång skärm'!$C$8+1&gt;A18,F18,0)</f>
        <v>25266.379886387993</v>
      </c>
      <c r="I18">
        <v>15</v>
      </c>
      <c r="J18" s="16">
        <f t="shared" si="0"/>
        <v>81111.149989467594</v>
      </c>
      <c r="K18" s="16">
        <f t="shared" si="1"/>
        <v>75477.085411738357</v>
      </c>
      <c r="L18" s="16"/>
      <c r="M18" s="16">
        <f t="shared" si="2"/>
        <v>-25266.379886387993</v>
      </c>
    </row>
    <row r="19" spans="1:13" x14ac:dyDescent="0.25">
      <c r="A19">
        <v>16</v>
      </c>
      <c r="B19" s="16">
        <f>'C Lång skärm'!$C$50*(1/(1+'C Lång skärm'!$C$10)^A19)*(('C Lång skärm'!$C$12+1)^NuvLångSkärm!A19)</f>
        <v>79269.495859271963</v>
      </c>
      <c r="C19" s="16">
        <f>IF('C Lång skärm'!$C$8+1&gt;A19,B19,0)</f>
        <v>79269.495859271963</v>
      </c>
      <c r="D19" s="16">
        <f>'C Lång skärm'!$C$51*(1/(1+'C Lång skärm'!$C$10)^A19)*(('C Lång skärm'!$C$12+1)^NuvLångSkärm!A19)</f>
        <v>73763.354486930781</v>
      </c>
      <c r="E19" s="16">
        <f>IF('C Lång skärm'!$C$8+1&gt;A19,D19,0)</f>
        <v>73763.354486930781</v>
      </c>
      <c r="F19" s="16">
        <f>'C Lång skärm'!$C$40/(POWER(1+'C Lång skärm'!$C$10,A19))</f>
        <v>24411.961242886955</v>
      </c>
      <c r="G19" s="16">
        <f>IF('C Lång skärm'!$C$8+1&gt;A19,F19,0)</f>
        <v>24411.961242886955</v>
      </c>
      <c r="I19">
        <v>16</v>
      </c>
      <c r="J19" s="16">
        <f t="shared" si="0"/>
        <v>79269.495859271963</v>
      </c>
      <c r="K19" s="16">
        <f t="shared" si="1"/>
        <v>73763.354486930781</v>
      </c>
      <c r="L19" s="16"/>
      <c r="M19" s="16">
        <f t="shared" si="2"/>
        <v>-24411.961242886955</v>
      </c>
    </row>
    <row r="20" spans="1:13" x14ac:dyDescent="0.25">
      <c r="A20">
        <v>17</v>
      </c>
      <c r="B20" s="16">
        <f>'C Lång skärm'!$C$50*(1/(1+'C Lång skärm'!$C$10)^A20)*(('C Lång skärm'!$C$12+1)^NuvLångSkärm!A20)</f>
        <v>77469.657064399624</v>
      </c>
      <c r="C20" s="16">
        <f>IF('C Lång skärm'!$C$8+1&gt;A20,B20,0)</f>
        <v>77469.657064399624</v>
      </c>
      <c r="D20" s="16">
        <f>'C Lång skärm'!$C$51*(1/(1+'C Lång skärm'!$C$10)^A20)*(('C Lång skärm'!$C$12+1)^NuvLångSkärm!A20)</f>
        <v>72088.534360899037</v>
      </c>
      <c r="E20" s="16">
        <f>IF('C Lång skärm'!$C$8+1&gt;A20,D20,0)</f>
        <v>72088.534360899037</v>
      </c>
      <c r="F20" s="16">
        <f>'C Lång skärm'!$C$40/(POWER(1+'C Lång skärm'!$C$10,A20))</f>
        <v>23586.435983465657</v>
      </c>
      <c r="G20" s="16">
        <f>IF('C Lång skärm'!$C$8+1&gt;A20,F20,0)</f>
        <v>23586.435983465657</v>
      </c>
      <c r="I20">
        <v>17</v>
      </c>
      <c r="J20" s="16">
        <f t="shared" si="0"/>
        <v>77469.657064399624</v>
      </c>
      <c r="K20" s="16">
        <f t="shared" si="1"/>
        <v>72088.534360899037</v>
      </c>
      <c r="L20" s="16"/>
      <c r="M20" s="16">
        <f t="shared" si="2"/>
        <v>-23586.435983465657</v>
      </c>
    </row>
    <row r="21" spans="1:13" x14ac:dyDescent="0.25">
      <c r="A21">
        <v>18</v>
      </c>
      <c r="B21" s="16">
        <f>'C Lång skärm'!$C$50*(1/(1+'C Lång skärm'!$C$10)^A21)*(('C Lång skärm'!$C$12+1)^NuvLångSkärm!A21)</f>
        <v>75710.68417453162</v>
      </c>
      <c r="C21" s="16">
        <f>IF('C Lång skärm'!$C$8+1&gt;A21,B21,0)</f>
        <v>75710.68417453162</v>
      </c>
      <c r="D21" s="16">
        <f>'C Lång skärm'!$C$51*(1/(1+'C Lång skärm'!$C$10)^A21)*(('C Lång skärm'!$C$12+1)^NuvLångSkärm!A21)</f>
        <v>70451.741551738538</v>
      </c>
      <c r="E21" s="16">
        <f>IF('C Lång skärm'!$C$8+1&gt;A21,D21,0)</f>
        <v>70451.741551738538</v>
      </c>
      <c r="F21" s="16">
        <f>'C Lång skärm'!$C$40/(POWER(1+'C Lång skärm'!$C$10,A21))</f>
        <v>22788.827037164887</v>
      </c>
      <c r="G21" s="16">
        <f>IF('C Lång skärm'!$C$8+1&gt;A21,F21,0)</f>
        <v>22788.827037164887</v>
      </c>
      <c r="I21">
        <v>18</v>
      </c>
      <c r="J21" s="16">
        <f t="shared" si="0"/>
        <v>75710.68417453162</v>
      </c>
      <c r="K21" s="16">
        <f t="shared" si="1"/>
        <v>70451.741551738538</v>
      </c>
      <c r="L21" s="16"/>
      <c r="M21" s="16">
        <f t="shared" si="2"/>
        <v>-22788.827037164887</v>
      </c>
    </row>
    <row r="22" spans="1:13" x14ac:dyDescent="0.25">
      <c r="A22">
        <v>19</v>
      </c>
      <c r="B22" s="16">
        <f>'C Lång skärm'!$C$50*(1/(1+'C Lång skärm'!$C$10)^A22)*(('C Lång skärm'!$C$12+1)^NuvLångSkärm!A22)</f>
        <v>73991.649316462557</v>
      </c>
      <c r="C22" s="16">
        <f>IF('C Lång skärm'!$C$8+1&gt;A22,B22,0)</f>
        <v>73991.649316462557</v>
      </c>
      <c r="D22" s="16">
        <f>'C Lång skärm'!$C$51*(1/(1+'C Lång skärm'!$C$10)^A22)*(('C Lång skärm'!$C$12+1)^NuvLångSkärm!A22)</f>
        <v>68852.112637278799</v>
      </c>
      <c r="E22" s="16">
        <f>IF('C Lång skärm'!$C$8+1&gt;A22,D22,0)</f>
        <v>68852.112637278799</v>
      </c>
      <c r="F22" s="16">
        <f>'C Lång skärm'!$C$40/(POWER(1+'C Lång skärm'!$C$10,A22))</f>
        <v>22018.190374072357</v>
      </c>
      <c r="G22" s="16">
        <f>IF('C Lång skärm'!$C$8+1&gt;A22,F22,0)</f>
        <v>22018.190374072357</v>
      </c>
      <c r="I22">
        <v>19</v>
      </c>
      <c r="J22" s="16">
        <f t="shared" si="0"/>
        <v>73991.649316462557</v>
      </c>
      <c r="K22" s="16">
        <f t="shared" si="1"/>
        <v>68852.112637278799</v>
      </c>
      <c r="L22" s="16"/>
      <c r="M22" s="16">
        <f t="shared" si="2"/>
        <v>-22018.190374072357</v>
      </c>
    </row>
    <row r="23" spans="1:13" x14ac:dyDescent="0.25">
      <c r="A23">
        <v>20</v>
      </c>
      <c r="B23" s="16">
        <f>'C Lång skärm'!$C$50*(1/(1+'C Lång skärm'!$C$10)^A23)*(('C Lång skärm'!$C$12+1)^NuvLångSkärm!A23)</f>
        <v>72311.645684639501</v>
      </c>
      <c r="C23" s="16">
        <f>IF('C Lång skärm'!$C$8+1&gt;A23,B23,0)</f>
        <v>72311.645684639501</v>
      </c>
      <c r="D23" s="16">
        <f>'C Lång skärm'!$C$51*(1/(1+'C Lång skärm'!$C$10)^A23)*(('C Lång skärm'!$C$12+1)^NuvLångSkärm!A23)</f>
        <v>67288.803799620771</v>
      </c>
      <c r="E23" s="16">
        <f>IF('C Lång skärm'!$C$8+1&gt;A23,D23,0)</f>
        <v>67288.803799620771</v>
      </c>
      <c r="F23" s="16">
        <f>'C Lång skärm'!$C$40/(POWER(1+'C Lång skärm'!$C$10,A23))</f>
        <v>21273.613887992618</v>
      </c>
      <c r="G23" s="16">
        <f>IF('C Lång skärm'!$C$8+1&gt;A23,F23,0)</f>
        <v>21273.613887992618</v>
      </c>
      <c r="I23">
        <v>20</v>
      </c>
      <c r="J23" s="16">
        <f t="shared" si="0"/>
        <v>72311.645684639501</v>
      </c>
      <c r="K23" s="16">
        <f t="shared" si="1"/>
        <v>67288.803799620771</v>
      </c>
      <c r="L23" s="16"/>
      <c r="M23" s="16">
        <f t="shared" si="2"/>
        <v>-21273.613887992618</v>
      </c>
    </row>
    <row r="24" spans="1:13" x14ac:dyDescent="0.25">
      <c r="A24">
        <v>21</v>
      </c>
      <c r="B24" s="16">
        <f>'C Lång skärm'!$C$50*(1/(1+'C Lång skärm'!$C$10)^A24)*(('C Lång skärm'!$C$12+1)^NuvLångSkärm!A24)</f>
        <v>70669.787062814386</v>
      </c>
      <c r="C24" s="16">
        <f>IF('C Lång skärm'!$C$8+1&gt;A24,B24,0)</f>
        <v>70669.787062814386</v>
      </c>
      <c r="D24" s="16">
        <f>'C Lång skärm'!$C$51*(1/(1+'C Lång skärm'!$C$10)^A24)*(('C Lång skärm'!$C$12+1)^NuvLångSkärm!A24)</f>
        <v>65760.990380015894</v>
      </c>
      <c r="E24" s="16">
        <f>IF('C Lång skärm'!$C$8+1&gt;A24,D24,0)</f>
        <v>65760.990380015894</v>
      </c>
      <c r="F24" s="16">
        <f>'C Lång skärm'!$C$40/(POWER(1+'C Lång skärm'!$C$10,A24))</f>
        <v>20554.216316901086</v>
      </c>
      <c r="G24" s="16">
        <f>IF('C Lång skärm'!$C$8+1&gt;A24,F24,0)</f>
        <v>20554.216316901086</v>
      </c>
      <c r="I24">
        <v>21</v>
      </c>
      <c r="J24" s="16">
        <f t="shared" si="0"/>
        <v>70669.787062814386</v>
      </c>
      <c r="K24" s="16">
        <f t="shared" si="1"/>
        <v>65760.990380015894</v>
      </c>
      <c r="L24" s="16"/>
      <c r="M24" s="16">
        <f t="shared" si="2"/>
        <v>-20554.216316901086</v>
      </c>
    </row>
    <row r="25" spans="1:13" x14ac:dyDescent="0.25">
      <c r="A25">
        <v>22</v>
      </c>
      <c r="B25" s="16">
        <f>'C Lång skärm'!$C$50*(1/(1+'C Lång skärm'!$C$10)^A25)*(('C Lång skärm'!$C$12+1)^NuvLångSkärm!A25)</f>
        <v>69065.207356557235</v>
      </c>
      <c r="C25" s="16">
        <f>IF('C Lång skärm'!$C$8+1&gt;A25,B25,0)</f>
        <v>69065.207356557235</v>
      </c>
      <c r="D25" s="16">
        <f>'C Lång skärm'!$C$51*(1/(1+'C Lång skärm'!$C$10)^A25)*(('C Lång skärm'!$C$12+1)^NuvLångSkärm!A25)</f>
        <v>64267.866443851271</v>
      </c>
      <c r="E25" s="16">
        <f>IF('C Lång skärm'!$C$8+1&gt;A25,D25,0)</f>
        <v>64267.866443851271</v>
      </c>
      <c r="F25" s="16">
        <f>'C Lång skärm'!$C$40/(POWER(1+'C Lång skärm'!$C$10,A25))</f>
        <v>19859.14619990443</v>
      </c>
      <c r="G25" s="16">
        <f>IF('C Lång skärm'!$C$8+1&gt;A25,F25,0)</f>
        <v>19859.14619990443</v>
      </c>
      <c r="I25">
        <v>22</v>
      </c>
      <c r="J25" s="16">
        <f t="shared" si="0"/>
        <v>69065.207356557235</v>
      </c>
      <c r="K25" s="16">
        <f t="shared" si="1"/>
        <v>64267.866443851271</v>
      </c>
      <c r="L25" s="16"/>
      <c r="M25" s="16">
        <f t="shared" si="2"/>
        <v>-19859.14619990443</v>
      </c>
    </row>
    <row r="26" spans="1:13" x14ac:dyDescent="0.25">
      <c r="A26">
        <v>23</v>
      </c>
      <c r="B26" s="16">
        <f>'C Lång skärm'!$C$50*(1/(1+'C Lång skärm'!$C$10)^A26)*(('C Lång skärm'!$C$12+1)^NuvLångSkärm!A26)</f>
        <v>67497.060136384214</v>
      </c>
      <c r="C26" s="16">
        <f>IF('C Lång skärm'!$C$8+1&gt;A26,B26,0)</f>
        <v>67497.060136384214</v>
      </c>
      <c r="D26" s="16">
        <f>'C Lång skärm'!$C$51*(1/(1+'C Lång skärm'!$C$10)^A26)*(('C Lång skärm'!$C$12+1)^NuvLångSkärm!A26)</f>
        <v>62808.644355512624</v>
      </c>
      <c r="E26" s="16">
        <f>IF('C Lång skärm'!$C$8+1&gt;A26,D26,0)</f>
        <v>62808.644355512624</v>
      </c>
      <c r="F26" s="16">
        <f>'C Lång skärm'!$C$40/(POWER(1+'C Lång skärm'!$C$10,A26))</f>
        <v>19187.580869472877</v>
      </c>
      <c r="G26" s="16">
        <f>IF('C Lång skärm'!$C$8+1&gt;A26,F26,0)</f>
        <v>19187.580869472877</v>
      </c>
      <c r="I26">
        <v>23</v>
      </c>
      <c r="J26" s="16">
        <f t="shared" si="0"/>
        <v>67497.060136384214</v>
      </c>
      <c r="K26" s="16">
        <f t="shared" si="1"/>
        <v>62808.644355512624</v>
      </c>
      <c r="L26" s="16"/>
      <c r="M26" s="16">
        <f t="shared" si="2"/>
        <v>-19187.580869472877</v>
      </c>
    </row>
    <row r="27" spans="1:13" x14ac:dyDescent="0.25">
      <c r="A27">
        <v>24</v>
      </c>
      <c r="B27" s="16">
        <f>'C Lång skärm'!$C$50*(1/(1+'C Lång skärm'!$C$10)^A27)*(('C Lång skärm'!$C$12+1)^NuvLångSkärm!A27)</f>
        <v>65964.518191258612</v>
      </c>
      <c r="C27" s="16">
        <f>IF('C Lång skärm'!$C$8+1&gt;A27,B27,0)</f>
        <v>65964.518191258612</v>
      </c>
      <c r="D27" s="16">
        <f>'C Lång skärm'!$C$51*(1/(1+'C Lång skärm'!$C$10)^A27)*(('C Lång skärm'!$C$12+1)^NuvLångSkärm!A27)</f>
        <v>61382.554362899566</v>
      </c>
      <c r="E27" s="16">
        <f>IF('C Lång skärm'!$C$8+1&gt;A27,D27,0)</f>
        <v>61382.554362899566</v>
      </c>
      <c r="F27" s="16">
        <f>'C Lång skärm'!$C$40/(POWER(1+'C Lång skärm'!$C$10,A27))</f>
        <v>18538.725477751577</v>
      </c>
      <c r="G27" s="16">
        <f>IF('C Lång skärm'!$C$8+1&gt;A27,F27,0)</f>
        <v>18538.725477751577</v>
      </c>
      <c r="I27">
        <v>24</v>
      </c>
      <c r="J27" s="16">
        <f t="shared" si="0"/>
        <v>65964.518191258612</v>
      </c>
      <c r="K27" s="16">
        <f t="shared" si="1"/>
        <v>61382.554362899566</v>
      </c>
      <c r="L27" s="16"/>
      <c r="M27" s="16">
        <f t="shared" si="2"/>
        <v>-18538.725477751577</v>
      </c>
    </row>
    <row r="28" spans="1:13" x14ac:dyDescent="0.25">
      <c r="A28">
        <v>25</v>
      </c>
      <c r="B28" s="16">
        <f>'C Lång skärm'!$C$50*(1/(1+'C Lång skärm'!$C$10)^A28)*(('C Lång skärm'!$C$12+1)^NuvLångSkärm!A28)</f>
        <v>64466.77309223004</v>
      </c>
      <c r="C28" s="16">
        <f>IF('C Lång skärm'!$C$8+1&gt;A28,B28,0)</f>
        <v>64466.77309223004</v>
      </c>
      <c r="D28" s="16">
        <f>'C Lång skärm'!$C$51*(1/(1+'C Lång skärm'!$C$10)^A28)*(('C Lång skärm'!$C$12+1)^NuvLångSkärm!A28)</f>
        <v>59988.844191374796</v>
      </c>
      <c r="E28" s="16">
        <f>IF('C Lång skärm'!$C$8+1&gt;A28,D28,0)</f>
        <v>59988.844191374796</v>
      </c>
      <c r="F28" s="16">
        <f>'C Lång skärm'!$C$40/(POWER(1+'C Lång skärm'!$C$10,A28))</f>
        <v>17911.812055798626</v>
      </c>
      <c r="G28" s="16">
        <f>IF('C Lång skärm'!$C$8+1&gt;A28,F28,0)</f>
        <v>17911.812055798626</v>
      </c>
      <c r="I28">
        <v>25</v>
      </c>
      <c r="J28" s="16">
        <f t="shared" si="0"/>
        <v>64466.77309223004</v>
      </c>
      <c r="K28" s="16">
        <f t="shared" si="1"/>
        <v>59988.844191374796</v>
      </c>
      <c r="L28" s="16"/>
      <c r="M28" s="16">
        <f t="shared" si="2"/>
        <v>-17911.812055798626</v>
      </c>
    </row>
    <row r="29" spans="1:13" x14ac:dyDescent="0.25">
      <c r="A29">
        <v>26</v>
      </c>
      <c r="B29" s="16">
        <f>'C Lång skärm'!$C$50*(1/(1+'C Lång skärm'!$C$10)^A29)*(('C Lång skärm'!$C$12+1)^NuvLångSkärm!A29)</f>
        <v>63003.034765981349</v>
      </c>
      <c r="C29" s="16">
        <f>IF('C Lång skärm'!$C$8+1&gt;A29,B29,0)</f>
        <v>63003.034765981349</v>
      </c>
      <c r="D29" s="16">
        <f>'C Lång skärm'!$C$51*(1/(1+'C Lång skärm'!$C$10)^A29)*(('C Lång skärm'!$C$12+1)^NuvLångSkärm!A29)</f>
        <v>58626.778646932966</v>
      </c>
      <c r="E29" s="16">
        <f>IF('C Lång skärm'!$C$8+1&gt;A29,D29,0)</f>
        <v>58626.778646932966</v>
      </c>
      <c r="F29" s="16">
        <f>'C Lång skärm'!$C$40/(POWER(1+'C Lång skärm'!$C$10,A29))</f>
        <v>17306.098604636354</v>
      </c>
      <c r="G29" s="16">
        <f>IF('C Lång skärm'!$C$8+1&gt;A29,F29,0)</f>
        <v>17306.098604636354</v>
      </c>
      <c r="I29">
        <v>26</v>
      </c>
      <c r="J29" s="16">
        <f t="shared" si="0"/>
        <v>63003.034765981349</v>
      </c>
      <c r="K29" s="16">
        <f t="shared" si="1"/>
        <v>58626.778646932966</v>
      </c>
      <c r="L29" s="16"/>
      <c r="M29" s="16">
        <f t="shared" si="2"/>
        <v>-17306.098604636354</v>
      </c>
    </row>
    <row r="30" spans="1:13" x14ac:dyDescent="0.25">
      <c r="A30">
        <v>27</v>
      </c>
      <c r="B30" s="16">
        <f>'C Lång skärm'!$C$50*(1/(1+'C Lång skärm'!$C$10)^A30)*(('C Lång skärm'!$C$12+1)^NuvLångSkärm!A30)</f>
        <v>61572.531078058099</v>
      </c>
      <c r="C30" s="16">
        <f>IF('C Lång skärm'!$C$8+1&gt;A30,B30,0)</f>
        <v>61572.531078058099</v>
      </c>
      <c r="D30" s="16">
        <f>'C Lång skärm'!$C$51*(1/(1+'C Lång skärm'!$C$10)^A30)*(('C Lång skärm'!$C$12+1)^NuvLångSkärm!A30)</f>
        <v>57295.639228379412</v>
      </c>
      <c r="E30" s="16">
        <f>IF('C Lång skärm'!$C$8+1&gt;A30,D30,0)</f>
        <v>57295.639228379412</v>
      </c>
      <c r="F30" s="16">
        <f>'C Lång skärm'!$C$40/(POWER(1+'C Lång skärm'!$C$10,A30))</f>
        <v>16720.868217039955</v>
      </c>
      <c r="G30" s="16">
        <f>IF('C Lång skärm'!$C$8+1&gt;A30,F30,0)</f>
        <v>16720.868217039955</v>
      </c>
      <c r="I30">
        <v>27</v>
      </c>
      <c r="J30" s="16">
        <f t="shared" si="0"/>
        <v>61572.531078058099</v>
      </c>
      <c r="K30" s="16">
        <f t="shared" si="1"/>
        <v>57295.639228379412</v>
      </c>
      <c r="L30" s="16"/>
      <c r="M30" s="16">
        <f t="shared" si="2"/>
        <v>-16720.868217039955</v>
      </c>
    </row>
    <row r="31" spans="1:13" x14ac:dyDescent="0.25">
      <c r="A31">
        <v>28</v>
      </c>
      <c r="B31" s="16">
        <f>'C Lång skärm'!$C$50*(1/(1+'C Lång skärm'!$C$10)^A31)*(('C Lång skärm'!$C$12+1)^NuvLångSkärm!A31)</f>
        <v>60174.507425561125</v>
      </c>
      <c r="C31" s="16">
        <f>IF('C Lång skärm'!$C$8+1&gt;A31,B31,0)</f>
        <v>60174.507425561125</v>
      </c>
      <c r="D31" s="16">
        <f>'C Lång skärm'!$C$51*(1/(1+'C Lång skärm'!$C$10)^A31)*(('C Lång skärm'!$C$12+1)^NuvLångSkärm!A31)</f>
        <v>55994.723748314762</v>
      </c>
      <c r="E31" s="16">
        <f>IF('C Lång skärm'!$C$8+1&gt;A31,D31,0)</f>
        <v>55994.723748314762</v>
      </c>
      <c r="F31" s="16">
        <f>'C Lång skärm'!$C$40/(POWER(1+'C Lång skärm'!$C$10,A31))</f>
        <v>16155.428229024112</v>
      </c>
      <c r="G31" s="16">
        <f>IF('C Lång skärm'!$C$8+1&gt;A31,F31,0)</f>
        <v>16155.428229024112</v>
      </c>
      <c r="I31">
        <v>28</v>
      </c>
      <c r="J31" s="16">
        <f t="shared" si="0"/>
        <v>60174.507425561125</v>
      </c>
      <c r="K31" s="16">
        <f t="shared" si="1"/>
        <v>55994.723748314762</v>
      </c>
      <c r="L31" s="16"/>
      <c r="M31" s="16">
        <f t="shared" si="2"/>
        <v>-16155.428229024112</v>
      </c>
    </row>
    <row r="32" spans="1:13" x14ac:dyDescent="0.25">
      <c r="A32">
        <v>29</v>
      </c>
      <c r="B32" s="16">
        <f>'C Lång skärm'!$C$50*(1/(1+'C Lång skärm'!$C$10)^A32)*(('C Lång skärm'!$C$12+1)^NuvLångSkärm!A32)</f>
        <v>58808.226339087058</v>
      </c>
      <c r="C32" s="16">
        <f>IF('C Lång skärm'!$C$8+1&gt;A32,B32,0)</f>
        <v>58808.226339087058</v>
      </c>
      <c r="D32" s="16">
        <f>'C Lång skärm'!$C$51*(1/(1+'C Lång skärm'!$C$10)^A32)*(('C Lång skärm'!$C$12+1)^NuvLångSkärm!A32)</f>
        <v>54723.345962725027</v>
      </c>
      <c r="E32" s="16">
        <f>IF('C Lång skärm'!$C$8+1&gt;A32,D32,0)</f>
        <v>54723.345962725027</v>
      </c>
      <c r="F32" s="16">
        <f>'C Lång skärm'!$C$40/(POWER(1+'C Lång skärm'!$C$10,A32))</f>
        <v>15609.109400023301</v>
      </c>
      <c r="G32" s="16">
        <f>IF('C Lång skärm'!$C$8+1&gt;A32,F32,0)</f>
        <v>15609.109400023301</v>
      </c>
      <c r="I32">
        <v>29</v>
      </c>
      <c r="J32" s="16">
        <f t="shared" si="0"/>
        <v>58808.226339087058</v>
      </c>
      <c r="K32" s="16">
        <f t="shared" si="1"/>
        <v>54723.345962725027</v>
      </c>
      <c r="L32" s="16"/>
      <c r="M32" s="16">
        <f t="shared" si="2"/>
        <v>-15609.109400023301</v>
      </c>
    </row>
    <row r="33" spans="1:13" x14ac:dyDescent="0.25">
      <c r="A33">
        <v>30</v>
      </c>
      <c r="B33" s="16">
        <f>'C Lång skärm'!$C$50*(1/(1+'C Lång skärm'!$C$10)^A33)*(('C Lång skärm'!$C$12+1)^NuvLångSkärm!A33)</f>
        <v>57472.967093706815</v>
      </c>
      <c r="C33" s="16">
        <f>IF('C Lång skärm'!$C$8+1&gt;A33,B33,0)</f>
        <v>57472.967093706815</v>
      </c>
      <c r="D33" s="16">
        <f>'C Lång skärm'!$C$51*(1/(1+'C Lång skärm'!$C$10)^A33)*(('C Lång skärm'!$C$12+1)^NuvLångSkärm!A33)</f>
        <v>53480.835208981996</v>
      </c>
      <c r="E33" s="16">
        <f>IF('C Lång skärm'!$C$8+1&gt;A33,D33,0)</f>
        <v>53480.835208981996</v>
      </c>
      <c r="F33" s="16">
        <f>'C Lång skärm'!$C$40/(POWER(1+'C Lång skärm'!$C$10,A33))</f>
        <v>15081.265120795459</v>
      </c>
      <c r="G33" s="16">
        <f>IF('C Lång skärm'!$C$8+1&gt;A33,F33,0)</f>
        <v>15081.265120795459</v>
      </c>
      <c r="I33">
        <v>30</v>
      </c>
      <c r="J33" s="16">
        <f t="shared" si="0"/>
        <v>57472.967093706815</v>
      </c>
      <c r="K33" s="16">
        <f t="shared" si="1"/>
        <v>53480.835208981996</v>
      </c>
      <c r="L33" s="16"/>
      <c r="M33" s="16">
        <f t="shared" si="2"/>
        <v>-15081.265120795459</v>
      </c>
    </row>
    <row r="34" spans="1:13" x14ac:dyDescent="0.25">
      <c r="A34">
        <v>31</v>
      </c>
      <c r="B34" s="16">
        <f>'C Lång skärm'!$C$50*(1/(1+'C Lång skärm'!$C$10)^A34)*(('C Lång skärm'!$C$12+1)^NuvLångSkärm!A34)</f>
        <v>56168.025328777265</v>
      </c>
      <c r="C34" s="16">
        <f>IF('C Lång skärm'!$C$8+1&gt;A34,B34,0)</f>
        <v>56168.025328777265</v>
      </c>
      <c r="D34" s="16">
        <f>'C Lång skärm'!$C$51*(1/(1+'C Lång skärm'!$C$10)^A34)*(('C Lång skärm'!$C$12+1)^NuvLångSkärm!A34)</f>
        <v>52266.5360520631</v>
      </c>
      <c r="E34" s="16">
        <f>IF('C Lång skärm'!$C$8+1&gt;A34,D34,0)</f>
        <v>52266.5360520631</v>
      </c>
      <c r="F34" s="16">
        <f>'C Lång skärm'!$C$40/(POWER(1+'C Lång skärm'!$C$10,A34))</f>
        <v>14571.270648111555</v>
      </c>
      <c r="G34" s="16">
        <f>IF('C Lång skärm'!$C$8+1&gt;A34,F34,0)</f>
        <v>14571.270648111555</v>
      </c>
      <c r="I34">
        <v>31</v>
      </c>
      <c r="J34" s="16">
        <f t="shared" si="0"/>
        <v>56168.025328777265</v>
      </c>
      <c r="K34" s="16">
        <f t="shared" si="1"/>
        <v>52266.5360520631</v>
      </c>
      <c r="L34" s="16"/>
      <c r="M34" s="16">
        <f t="shared" si="2"/>
        <v>-14571.270648111555</v>
      </c>
    </row>
    <row r="35" spans="1:13" x14ac:dyDescent="0.25">
      <c r="A35">
        <v>32</v>
      </c>
      <c r="B35" s="16">
        <f>'C Lång skärm'!$C$50*(1/(1+'C Lång skärm'!$C$10)^A35)*(('C Lång skärm'!$C$12+1)^NuvLångSkärm!A35)</f>
        <v>54892.712676384755</v>
      </c>
      <c r="C35" s="16">
        <f>IF('C Lång skärm'!$C$8+1&gt;A35,B35,0)</f>
        <v>54892.712676384755</v>
      </c>
      <c r="D35" s="16">
        <f>'C Lång skärm'!$C$51*(1/(1+'C Lång skärm'!$C$10)^A35)*(('C Lång skärm'!$C$12+1)^NuvLångSkärm!A35)</f>
        <v>51079.807938803708</v>
      </c>
      <c r="E35" s="16">
        <f>IF('C Lång skärm'!$C$8+1&gt;A35,D35,0)</f>
        <v>51079.807938803708</v>
      </c>
      <c r="F35" s="16">
        <f>'C Lång skärm'!$C$40/(POWER(1+'C Lång skärm'!$C$10,A35))</f>
        <v>14078.522365325178</v>
      </c>
      <c r="G35" s="16">
        <f>IF('C Lång skärm'!$C$8+1&gt;A35,F35,0)</f>
        <v>14078.522365325178</v>
      </c>
      <c r="I35">
        <v>32</v>
      </c>
      <c r="J35" s="16">
        <f t="shared" si="0"/>
        <v>54892.712676384755</v>
      </c>
      <c r="K35" s="16">
        <f t="shared" si="1"/>
        <v>51079.807938803708</v>
      </c>
      <c r="L35" s="16"/>
      <c r="M35" s="16">
        <f t="shared" si="2"/>
        <v>-14078.522365325178</v>
      </c>
    </row>
    <row r="36" spans="1:13" x14ac:dyDescent="0.25">
      <c r="A36">
        <v>33</v>
      </c>
      <c r="B36" s="16">
        <f>'C Lång skärm'!$C$50*(1/(1+'C Lång skärm'!$C$10)^A36)*(('C Lång skärm'!$C$12+1)^NuvLångSkärm!A36)</f>
        <v>53646.356398225296</v>
      </c>
      <c r="C36" s="16">
        <f>IF('C Lång skärm'!$C$8+1&gt;A36,B36,0)</f>
        <v>53646.356398225296</v>
      </c>
      <c r="D36" s="16">
        <f>'C Lång skärm'!$C$51*(1/(1+'C Lång skärm'!$C$10)^A36)*(('C Lång skärm'!$C$12+1)^NuvLångSkärm!A36)</f>
        <v>49920.024859999961</v>
      </c>
      <c r="E36" s="16">
        <f>IF('C Lång skärm'!$C$8+1&gt;A36,D36,0)</f>
        <v>49920.024859999961</v>
      </c>
      <c r="F36" s="16">
        <f>'C Lång skärm'!$C$40/(POWER(1+'C Lång skärm'!$C$10,A36))</f>
        <v>13602.437067947034</v>
      </c>
      <c r="G36" s="16">
        <f>IF('C Lång skärm'!$C$8+1&gt;A36,F36,0)</f>
        <v>13602.437067947034</v>
      </c>
      <c r="I36">
        <v>33</v>
      </c>
      <c r="J36" s="16">
        <f t="shared" si="0"/>
        <v>53646.356398225296</v>
      </c>
      <c r="K36" s="16">
        <f t="shared" si="1"/>
        <v>49920.024859999961</v>
      </c>
      <c r="L36" s="16"/>
      <c r="M36" s="16">
        <f t="shared" si="2"/>
        <v>-13602.437067947034</v>
      </c>
    </row>
    <row r="37" spans="1:13" x14ac:dyDescent="0.25">
      <c r="A37">
        <v>34</v>
      </c>
      <c r="B37" s="16">
        <f>'C Lång skärm'!$C$50*(1/(1+'C Lång skärm'!$C$10)^A37)*(('C Lång skärm'!$C$12+1)^NuvLångSkärm!A37)</f>
        <v>52428.29903072938</v>
      </c>
      <c r="C37" s="16">
        <f>IF('C Lång skärm'!$C$8+1&gt;A37,B37,0)</f>
        <v>52428.29903072938</v>
      </c>
      <c r="D37" s="16">
        <f>'C Lång skärm'!$C$51*(1/(1+'C Lång skärm'!$C$10)^A37)*(('C Lång skärm'!$C$12+1)^NuvLångSkärm!A37)</f>
        <v>48786.575020183547</v>
      </c>
      <c r="E37" s="16">
        <f>IF('C Lång skärm'!$C$8+1&gt;A37,D37,0)</f>
        <v>48786.575020183547</v>
      </c>
      <c r="F37" s="16">
        <f>'C Lång skärm'!$C$40/(POWER(1+'C Lång skärm'!$C$10,A37))</f>
        <v>13142.451273378776</v>
      </c>
      <c r="G37" s="16">
        <f>IF('C Lång skärm'!$C$8+1&gt;A37,F37,0)</f>
        <v>13142.451273378776</v>
      </c>
      <c r="I37">
        <v>34</v>
      </c>
      <c r="J37" s="16">
        <f t="shared" si="0"/>
        <v>52428.29903072938</v>
      </c>
      <c r="K37" s="16">
        <f t="shared" si="1"/>
        <v>48786.575020183547</v>
      </c>
      <c r="L37" s="16"/>
      <c r="M37" s="16">
        <f t="shared" si="2"/>
        <v>-13142.451273378776</v>
      </c>
    </row>
    <row r="38" spans="1:13" x14ac:dyDescent="0.25">
      <c r="A38">
        <v>35</v>
      </c>
      <c r="B38" s="16">
        <f>'C Lång skärm'!$C$50*(1/(1+'C Lång skärm'!$C$10)^A38)*(('C Lång skärm'!$C$12+1)^NuvLångSkärm!A38)</f>
        <v>51237.898038244224</v>
      </c>
      <c r="C38" s="16">
        <f>IF('C Lång skärm'!$C$8+1&gt;A38,B38,0)</f>
        <v>51237.898038244224</v>
      </c>
      <c r="D38" s="16">
        <f>'C Lång skärm'!$C$51*(1/(1+'C Lång skärm'!$C$10)^A38)*(('C Lång skärm'!$C$12+1)^NuvLångSkärm!A38)</f>
        <v>47678.860514894361</v>
      </c>
      <c r="E38" s="16">
        <f>IF('C Lång skärm'!$C$8+1&gt;A38,D38,0)</f>
        <v>47678.860514894361</v>
      </c>
      <c r="F38" s="16">
        <f>'C Lång skärm'!$C$40/(POWER(1+'C Lång skärm'!$C$10,A38))</f>
        <v>12698.020553989158</v>
      </c>
      <c r="G38" s="16">
        <f>IF('C Lång skärm'!$C$8+1&gt;A38,F38,0)</f>
        <v>12698.020553989158</v>
      </c>
      <c r="I38">
        <v>35</v>
      </c>
      <c r="J38" s="16">
        <f t="shared" si="0"/>
        <v>51237.898038244224</v>
      </c>
      <c r="K38" s="16">
        <f t="shared" si="1"/>
        <v>47678.860514894361</v>
      </c>
      <c r="L38" s="16"/>
      <c r="M38" s="16">
        <f t="shared" si="2"/>
        <v>-12698.020553989158</v>
      </c>
    </row>
    <row r="39" spans="1:13" x14ac:dyDescent="0.25">
      <c r="A39">
        <v>36</v>
      </c>
      <c r="B39" s="16">
        <f>'C Lång skärm'!$C$50*(1/(1+'C Lång skärm'!$C$10)^A39)*(('C Lång skärm'!$C$12+1)^NuvLångSkärm!A39)</f>
        <v>50074.525474090857</v>
      </c>
      <c r="C39" s="16">
        <f>IF('C Lång skärm'!$C$8+1&gt;A39,B39,0)</f>
        <v>50074.525474090857</v>
      </c>
      <c r="D39" s="16">
        <f>'C Lång skärm'!$C$51*(1/(1+'C Lång skärm'!$C$10)^A39)*(('C Lång skärm'!$C$12+1)^NuvLångSkärm!A39)</f>
        <v>46596.297015280827</v>
      </c>
      <c r="E39" s="16">
        <f>IF('C Lång skärm'!$C$8+1&gt;A39,D39,0)</f>
        <v>46596.297015280827</v>
      </c>
      <c r="F39" s="16">
        <f>'C Lång skärm'!$C$40/(POWER(1+'C Lång skärm'!$C$10,A39))</f>
        <v>12268.618892743149</v>
      </c>
      <c r="G39" s="16">
        <f>IF('C Lång skärm'!$C$8+1&gt;A39,F39,0)</f>
        <v>12268.618892743149</v>
      </c>
      <c r="I39">
        <v>36</v>
      </c>
      <c r="J39" s="16">
        <f t="shared" si="0"/>
        <v>50074.525474090857</v>
      </c>
      <c r="K39" s="16">
        <f t="shared" si="1"/>
        <v>46596.297015280827</v>
      </c>
      <c r="L39" s="16"/>
      <c r="M39" s="16">
        <f t="shared" si="2"/>
        <v>-12268.618892743149</v>
      </c>
    </row>
    <row r="40" spans="1:13" x14ac:dyDescent="0.25">
      <c r="A40">
        <v>37</v>
      </c>
      <c r="B40" s="16">
        <f>'C Lång skärm'!$C$50*(1/(1+'C Lång skärm'!$C$10)^A40)*(('C Lång skärm'!$C$12+1)^NuvLångSkärm!A40)</f>
        <v>48937.567649316821</v>
      </c>
      <c r="C40" s="16">
        <f>IF('C Lång skärm'!$C$8+1&gt;A40,B40,0)</f>
        <v>48937.567649316821</v>
      </c>
      <c r="D40" s="16">
        <f>'C Lång skärm'!$C$51*(1/(1+'C Lång skärm'!$C$10)^A40)*(('C Lång skärm'!$C$12+1)^NuvLångSkärm!A40)</f>
        <v>45538.313459861412</v>
      </c>
      <c r="E40" s="16">
        <f>IF('C Lång skärm'!$C$8+1&gt;A40,D40,0)</f>
        <v>45538.313459861412</v>
      </c>
      <c r="F40" s="16">
        <f>'C Lång skärm'!$C$40/(POWER(1+'C Lång skärm'!$C$10,A40))</f>
        <v>11853.738060621399</v>
      </c>
      <c r="G40" s="16">
        <f>IF('C Lång skärm'!$C$8+1&gt;A40,F40,0)</f>
        <v>11853.738060621399</v>
      </c>
      <c r="I40">
        <v>37</v>
      </c>
      <c r="J40" s="16">
        <f t="shared" si="0"/>
        <v>48937.567649316821</v>
      </c>
      <c r="K40" s="16">
        <f t="shared" si="1"/>
        <v>45538.313459861412</v>
      </c>
      <c r="L40" s="16"/>
      <c r="M40" s="16">
        <f t="shared" si="2"/>
        <v>-11853.738060621399</v>
      </c>
    </row>
    <row r="41" spans="1:13" x14ac:dyDescent="0.25">
      <c r="A41">
        <v>38</v>
      </c>
      <c r="B41" s="16">
        <f>'C Lång skärm'!$C$50*(1/(1+'C Lång skärm'!$C$10)^A41)*(('C Lång skärm'!$C$12+1)^NuvLångSkärm!A41)</f>
        <v>47826.424808970012</v>
      </c>
      <c r="C41" s="16">
        <f>IF('C Lång skärm'!$C$8+1&gt;A41,B41,0)</f>
        <v>47826.424808970012</v>
      </c>
      <c r="D41" s="16">
        <f>'C Lång skärm'!$C$51*(1/(1+'C Lång skärm'!$C$10)^A41)*(('C Lång skärm'!$C$12+1)^NuvLångSkärm!A41)</f>
        <v>44504.351753284849</v>
      </c>
      <c r="E41" s="16">
        <f>IF('C Lång skärm'!$C$8+1&gt;A41,D41,0)</f>
        <v>44504.351753284849</v>
      </c>
      <c r="F41" s="16">
        <f>'C Lång skärm'!$C$40/(POWER(1+'C Lång skärm'!$C$10,A41))</f>
        <v>11452.88701509314</v>
      </c>
      <c r="G41" s="16">
        <f>IF('C Lång skärm'!$C$8+1&gt;A41,F41,0)</f>
        <v>11452.88701509314</v>
      </c>
      <c r="I41">
        <v>38</v>
      </c>
      <c r="J41" s="16">
        <f t="shared" si="0"/>
        <v>47826.424808970012</v>
      </c>
      <c r="K41" s="16">
        <f t="shared" si="1"/>
        <v>44504.351753284849</v>
      </c>
      <c r="L41" s="16"/>
      <c r="M41" s="16">
        <f t="shared" si="2"/>
        <v>-11452.88701509314</v>
      </c>
    </row>
    <row r="42" spans="1:13" x14ac:dyDescent="0.25">
      <c r="A42">
        <v>39</v>
      </c>
      <c r="B42" s="16">
        <f>'C Lång skärm'!$C$50*(1/(1+'C Lång skärm'!$C$10)^A42)*(('C Lång skärm'!$C$12+1)^NuvLångSkärm!A42)</f>
        <v>46740.51081572289</v>
      </c>
      <c r="C42" s="16">
        <f>IF('C Lång skärm'!$C$8+1&gt;A42,B42,0)</f>
        <v>46740.51081572289</v>
      </c>
      <c r="D42" s="16">
        <f>'C Lång skärm'!$C$51*(1/(1+'C Lång skärm'!$C$10)^A42)*(('C Lång skärm'!$C$12+1)^NuvLångSkärm!A42)</f>
        <v>43493.866471930087</v>
      </c>
      <c r="E42" s="16">
        <f>IF('C Lång skärm'!$C$8+1&gt;A42,D42,0)</f>
        <v>43493.866471930087</v>
      </c>
      <c r="F42" s="16">
        <f>'C Lång skärm'!$C$40/(POWER(1+'C Lång skärm'!$C$10,A42))</f>
        <v>11065.591318930572</v>
      </c>
      <c r="G42" s="16">
        <f>IF('C Lång skärm'!$C$8+1&gt;A42,F42,0)</f>
        <v>11065.591318930572</v>
      </c>
      <c r="I42">
        <v>39</v>
      </c>
      <c r="J42" s="16">
        <f t="shared" si="0"/>
        <v>46740.51081572289</v>
      </c>
      <c r="K42" s="16">
        <f t="shared" si="1"/>
        <v>43493.866471930087</v>
      </c>
      <c r="L42" s="16"/>
      <c r="M42" s="16">
        <f t="shared" si="2"/>
        <v>-11065.591318930572</v>
      </c>
    </row>
    <row r="43" spans="1:13" x14ac:dyDescent="0.25">
      <c r="A43">
        <v>40</v>
      </c>
      <c r="B43" s="16">
        <f>'C Lång skärm'!$C$50*(1/(1+'C Lång skärm'!$C$10)^A43)*(('C Lång skärm'!$C$12+1)^NuvLångSkärm!A43)</f>
        <v>45679.252840679917</v>
      </c>
      <c r="C43" s="16">
        <f>IF('C Lång skärm'!$C$8+1&gt;A43,B43,0)</f>
        <v>45679.252840679917</v>
      </c>
      <c r="D43" s="16">
        <f>'C Lång skärm'!$C$51*(1/(1+'C Lång skärm'!$C$10)^A43)*(('C Lång skärm'!$C$12+1)^NuvLångSkärm!A43)</f>
        <v>42506.324576190622</v>
      </c>
      <c r="E43" s="16">
        <f>IF('C Lång skärm'!$C$8+1&gt;A43,D43,0)</f>
        <v>42506.324576190622</v>
      </c>
      <c r="F43" s="16">
        <f>'C Lång skärm'!$C$40/(POWER(1+'C Lång skärm'!$C$10,A43))</f>
        <v>10691.392578676883</v>
      </c>
      <c r="G43" s="16">
        <f>IF('C Lång skärm'!$C$8+1&gt;A43,F43,0)</f>
        <v>10691.392578676883</v>
      </c>
      <c r="I43">
        <v>40</v>
      </c>
      <c r="J43" s="16">
        <f t="shared" si="0"/>
        <v>45679.252840679917</v>
      </c>
      <c r="K43" s="16">
        <f t="shared" si="1"/>
        <v>42506.324576190622</v>
      </c>
      <c r="L43" s="16"/>
      <c r="M43" s="16">
        <f t="shared" si="2"/>
        <v>-10691.392578676883</v>
      </c>
    </row>
    <row r="44" spans="1:13" x14ac:dyDescent="0.25">
      <c r="A44">
        <v>41</v>
      </c>
      <c r="B44" s="16">
        <f>'C Lång skärm'!$C$50*(1/(1+'C Lång skärm'!$C$10)^A44)*(('C Lång skärm'!$C$12+1)^40)</f>
        <v>44134.543807420217</v>
      </c>
      <c r="C44" s="16">
        <f>IF('C Lång skärm'!$C$8+1&gt;A44,B44,0)</f>
        <v>0</v>
      </c>
      <c r="D44" s="16">
        <f>'C Lång skärm'!$C$51*(1/(1+'C Lång skärm'!$C$10)^A44)*(('C Lång skärm'!$C$12+1)^40)</f>
        <v>41068.912634000611</v>
      </c>
      <c r="E44" s="16">
        <f>IF('C Lång skärm'!$C$8+1&gt;A44,D44,0)</f>
        <v>0</v>
      </c>
      <c r="F44" s="16">
        <f>'C Lång skärm'!$C$40/(POWER(1+'C Lång skärm'!$C$10,A44))</f>
        <v>10329.847902103271</v>
      </c>
      <c r="G44" s="16">
        <f>IF('C Lång skärm'!$C$8+1&gt;A44,F44,0)</f>
        <v>0</v>
      </c>
      <c r="I44">
        <v>41</v>
      </c>
      <c r="J44" s="16">
        <f t="shared" si="0"/>
        <v>0</v>
      </c>
      <c r="K44" s="16">
        <f t="shared" si="1"/>
        <v>0</v>
      </c>
      <c r="L44" s="16"/>
      <c r="M44" s="16">
        <f t="shared" si="2"/>
        <v>0</v>
      </c>
    </row>
    <row r="45" spans="1:13" x14ac:dyDescent="0.25">
      <c r="A45">
        <v>42</v>
      </c>
      <c r="B45" s="16">
        <f>'C Lång skärm'!$C$50*(1/(1+'C Lång skärm'!$C$10)^A45)*(('C Lång skärm'!$C$12+1)^40)</f>
        <v>42642.071311517117</v>
      </c>
      <c r="C45" s="16">
        <f>IF('C Lång skärm'!$C$8+1&gt;A45,B45,0)</f>
        <v>0</v>
      </c>
      <c r="D45" s="16">
        <f>'C Lång skärm'!$C$51*(1/(1+'C Lång skärm'!$C$10)^A45)*(('C Lång skärm'!$C$12+1)^40)</f>
        <v>39680.108825121359</v>
      </c>
      <c r="E45" s="16">
        <f>IF('C Lång skärm'!$C$8+1&gt;A45,D45,0)</f>
        <v>0</v>
      </c>
      <c r="F45" s="16">
        <f>'C Lång skärm'!$C$40/(POWER(1+'C Lång skärm'!$C$10,A45))</f>
        <v>9980.5293740128218</v>
      </c>
      <c r="G45" s="16">
        <f>IF('C Lång skärm'!$C$8+1&gt;A45,F45,0)</f>
        <v>0</v>
      </c>
      <c r="I45">
        <v>42</v>
      </c>
      <c r="J45" s="16">
        <f t="shared" si="0"/>
        <v>0</v>
      </c>
      <c r="K45" s="16">
        <f t="shared" si="1"/>
        <v>0</v>
      </c>
      <c r="L45" s="16"/>
      <c r="M45" s="16">
        <f t="shared" si="2"/>
        <v>0</v>
      </c>
    </row>
    <row r="46" spans="1:13" x14ac:dyDescent="0.25">
      <c r="A46">
        <v>43</v>
      </c>
      <c r="B46" s="16">
        <f>'C Lång skärm'!$C$50*(1/(1+'C Lång skärm'!$C$10)^A46)*(('C Lång skärm'!$C$12+1)^40)</f>
        <v>41200.068900016537</v>
      </c>
      <c r="C46" s="16">
        <f>IF('C Lång skärm'!$C$8+1&gt;A46,B46,0)</f>
        <v>0</v>
      </c>
      <c r="D46" s="16">
        <f>'C Lång skärm'!$C$51*(1/(1+'C Lång skärm'!$C$10)^A46)*(('C Lång skärm'!$C$12+1)^40)</f>
        <v>38338.269396252523</v>
      </c>
      <c r="E46" s="16">
        <f>IF('C Lång skärm'!$C$8+1&gt;A46,D46,0)</f>
        <v>0</v>
      </c>
      <c r="F46" s="16">
        <f>'C Lång skärm'!$C$40/(POWER(1+'C Lång skärm'!$C$10,A46))</f>
        <v>9643.02354977084</v>
      </c>
      <c r="G46" s="16">
        <f>IF('C Lång skärm'!$C$8+1&gt;A46,F46,0)</f>
        <v>0</v>
      </c>
      <c r="J46" s="16"/>
      <c r="K46" s="16"/>
      <c r="L46" s="16"/>
      <c r="M46" s="16"/>
    </row>
    <row r="47" spans="1:13" x14ac:dyDescent="0.25">
      <c r="A47">
        <v>44</v>
      </c>
      <c r="B47" s="16">
        <f>'C Lång skärm'!$C$50*(1/(1+'C Lång skärm'!$C$10)^A47)*(('C Lång skärm'!$C$12+1)^40)</f>
        <v>39806.829855088443</v>
      </c>
      <c r="C47" s="16">
        <f>IF('C Lång skärm'!$C$8+1&gt;A47,B47,0)</f>
        <v>0</v>
      </c>
      <c r="D47" s="16">
        <f>'C Lång skärm'!$C$51*(1/(1+'C Lång skärm'!$C$10)^A47)*(('C Lång skärm'!$C$12+1)^40)</f>
        <v>37041.806179954132</v>
      </c>
      <c r="E47" s="16">
        <f>IF('C Lång skärm'!$C$8+1&gt;A47,D47,0)</f>
        <v>0</v>
      </c>
      <c r="F47" s="16">
        <f>'C Lång skärm'!$C$40/(POWER(1+'C Lång skärm'!$C$10,A47))</f>
        <v>9316.9309659621667</v>
      </c>
      <c r="G47" s="16">
        <f>IF('C Lång skärm'!$C$8+1&gt;A47,F47,0)</f>
        <v>0</v>
      </c>
      <c r="I47" t="s">
        <v>155</v>
      </c>
      <c r="J47" s="16">
        <f>SUM(J3:J46)</f>
        <v>2960995.3804218341</v>
      </c>
      <c r="K47" s="16">
        <f t="shared" ref="K47:M47" si="3">SUM(K3:K46)</f>
        <v>2755321.5712128552</v>
      </c>
      <c r="L47" s="16">
        <f t="shared" si="3"/>
        <v>0</v>
      </c>
      <c r="M47" s="16">
        <f t="shared" si="3"/>
        <v>-903960.21203780547</v>
      </c>
    </row>
    <row r="48" spans="1:13" x14ac:dyDescent="0.25">
      <c r="A48">
        <v>45</v>
      </c>
      <c r="B48" s="16">
        <f>'C Lång skärm'!$C$50*(1/(1+'C Lång skärm'!$C$10)^A48)*(('C Lång skärm'!$C$12+1)^40)</f>
        <v>38460.705173998496</v>
      </c>
      <c r="C48" s="16">
        <f>IF('C Lång skärm'!$C$8+1&gt;A48,B48,0)</f>
        <v>0</v>
      </c>
      <c r="D48" s="16">
        <f>'C Lång skärm'!$C$51*(1/(1+'C Lång skärm'!$C$10)^A48)*(('C Lång skärm'!$C$12+1)^40)</f>
        <v>35789.184714931529</v>
      </c>
      <c r="E48" s="16">
        <f>IF('C Lång skärm'!$C$8+1&gt;A48,D48,0)</f>
        <v>0</v>
      </c>
      <c r="F48" s="16">
        <f>'C Lång skärm'!$C$40/(POWER(1+'C Lång skärm'!$C$10,A48))</f>
        <v>9001.8656675962975</v>
      </c>
      <c r="G48" s="16">
        <f>IF('C Lång skärm'!$C$8+1&gt;A48,F48,0)</f>
        <v>0</v>
      </c>
      <c r="J48" s="16"/>
      <c r="K48" s="16"/>
      <c r="L48" s="16"/>
      <c r="M48" s="16"/>
    </row>
    <row r="49" spans="1:13" x14ac:dyDescent="0.25">
      <c r="A49">
        <v>46</v>
      </c>
      <c r="B49" s="16">
        <f>'C Lång skärm'!$C$50*(1/(1+'C Lång skärm'!$C$10)^A49)*(('C Lång skärm'!$C$12+1)^40)</f>
        <v>37160.101617389853</v>
      </c>
      <c r="C49" s="16">
        <f>IF('C Lång skärm'!$C$8+1&gt;A49,B49,0)</f>
        <v>0</v>
      </c>
      <c r="D49" s="16">
        <f>'C Lång skärm'!$C$51*(1/(1+'C Lång skärm'!$C$10)^A49)*(('C Lång skärm'!$C$12+1)^40)</f>
        <v>34578.922429885533</v>
      </c>
      <c r="E49" s="16">
        <f>IF('C Lång skärm'!$C$8+1&gt;A49,D49,0)</f>
        <v>0</v>
      </c>
      <c r="F49" s="16">
        <f>'C Lång skärm'!$C$40/(POWER(1+'C Lång skärm'!$C$10,A49))</f>
        <v>8697.4547513007692</v>
      </c>
      <c r="G49" s="16">
        <f>IF('C Lång skärm'!$C$8+1&gt;A49,F49,0)</f>
        <v>0</v>
      </c>
      <c r="J49" s="16"/>
      <c r="K49" s="16"/>
      <c r="L49" s="16"/>
      <c r="M49" s="16"/>
    </row>
    <row r="50" spans="1:13" x14ac:dyDescent="0.25">
      <c r="A50">
        <v>47</v>
      </c>
      <c r="B50" s="16">
        <f>'C Lång skärm'!$C$50*(1/(1+'C Lång skärm'!$C$10)^A50)*(('C Lång skärm'!$C$12+1)^40)</f>
        <v>35903.479823565081</v>
      </c>
      <c r="C50" s="16">
        <f>IF('C Lång skärm'!$C$8+1&gt;A50,B50,0)</f>
        <v>0</v>
      </c>
      <c r="D50" s="16">
        <f>'C Lång skärm'!$C$51*(1/(1+'C Lång skärm'!$C$10)^A50)*(('C Lång skärm'!$C$12+1)^40)</f>
        <v>33409.586888778307</v>
      </c>
      <c r="E50" s="16">
        <f>IF('C Lång skärm'!$C$8+1&gt;A50,D50,0)</f>
        <v>0</v>
      </c>
      <c r="F50" s="16">
        <f>'C Lång skärm'!$C$40/(POWER(1+'C Lång skärm'!$C$10,A50))</f>
        <v>8403.3379239620972</v>
      </c>
      <c r="G50" s="16">
        <f>IF('C Lång skärm'!$C$8+1&gt;A50,F50,0)</f>
        <v>0</v>
      </c>
      <c r="J50" s="16"/>
      <c r="K50" s="16"/>
      <c r="L50" s="16"/>
      <c r="M50" s="16"/>
    </row>
    <row r="51" spans="1:13" x14ac:dyDescent="0.25">
      <c r="A51">
        <v>48</v>
      </c>
      <c r="B51" s="16">
        <f>'C Lång skärm'!$C$50*(1/(1+'C Lång skärm'!$C$10)^A51)*(('C Lång skärm'!$C$12+1)^40)</f>
        <v>34689.352486536322</v>
      </c>
      <c r="C51" s="16">
        <f>IF('C Lång skärm'!$C$8+1&gt;A51,B51,0)</f>
        <v>0</v>
      </c>
      <c r="D51" s="16">
        <f>'C Lång skärm'!$C$51*(1/(1+'C Lång skärm'!$C$10)^A51)*(('C Lång skärm'!$C$12+1)^40)</f>
        <v>32279.794095437977</v>
      </c>
      <c r="E51" s="16">
        <f>IF('C Lång skärm'!$C$8+1&gt;A51,D51,0)</f>
        <v>0</v>
      </c>
      <c r="F51" s="16">
        <f>'C Lång skärm'!$C$40/(POWER(1+'C Lång skärm'!$C$10,A51))</f>
        <v>8119.1670762918829</v>
      </c>
      <c r="G51" s="16">
        <f>IF('C Lång skärm'!$C$8+1&gt;A51,F51,0)</f>
        <v>0</v>
      </c>
      <c r="J51" s="16"/>
      <c r="K51" s="16"/>
      <c r="L51" s="16"/>
      <c r="M51" s="16"/>
    </row>
    <row r="52" spans="1:13" x14ac:dyDescent="0.25">
      <c r="A52">
        <v>49</v>
      </c>
      <c r="B52" s="16">
        <f>'C Lång skärm'!$C$50*(1/(1+'C Lång skärm'!$C$10)^A52)*(('C Lång skärm'!$C$12+1)^40)</f>
        <v>33516.282595687269</v>
      </c>
      <c r="C52" s="16">
        <f>IF('C Lång skärm'!$C$8+1&gt;A52,B52,0)</f>
        <v>0</v>
      </c>
      <c r="D52" s="16">
        <f>'C Lång skärm'!$C$51*(1/(1+'C Lång skärm'!$C$10)^A52)*(('C Lång skärm'!$C$12+1)^40)</f>
        <v>31188.206855495635</v>
      </c>
      <c r="E52" s="16">
        <f>IF('C Lång skärm'!$C$8+1&gt;A52,D52,0)</f>
        <v>0</v>
      </c>
      <c r="F52" s="16">
        <f>'C Lång skärm'!$C$40/(POWER(1+'C Lång skärm'!$C$10,A52))</f>
        <v>7844.6058708134151</v>
      </c>
      <c r="G52" s="16">
        <f>IF('C Lång skärm'!$C$8+1&gt;A52,F52,0)</f>
        <v>0</v>
      </c>
      <c r="J52" s="16"/>
      <c r="K52" s="16"/>
      <c r="L52" s="16"/>
      <c r="M52" s="16"/>
    </row>
    <row r="53" spans="1:13" x14ac:dyDescent="0.25">
      <c r="A53">
        <v>50</v>
      </c>
      <c r="B53" s="16">
        <f>'C Lång skärm'!$C$50*(1/(1+'C Lång skärm'!$C$10)^A53)*(('C Lång skärm'!$C$12+1)^40)</f>
        <v>32382.881734963546</v>
      </c>
      <c r="C53" s="16">
        <f>IF('C Lång skärm'!$C$8+1&gt;A53,B53,0)</f>
        <v>0</v>
      </c>
      <c r="D53" s="16">
        <f>'C Lång skärm'!$C$51*(1/(1+'C Lång skärm'!$C$10)^A53)*(('C Lång skärm'!$C$12+1)^40)</f>
        <v>30133.533193715586</v>
      </c>
      <c r="E53" s="16">
        <f>IF('C Lång skärm'!$C$8+1&gt;A53,D53,0)</f>
        <v>0</v>
      </c>
      <c r="F53" s="16">
        <f>'C Lång skärm'!$C$40/(POWER(1+'C Lång skärm'!$C$10,A53))</f>
        <v>7579.3293437810771</v>
      </c>
      <c r="G53" s="16">
        <f>IF('C Lång skärm'!$C$8+1&gt;A53,F53,0)</f>
        <v>0</v>
      </c>
      <c r="J53" s="16"/>
      <c r="K53" s="16"/>
      <c r="L53" s="16"/>
      <c r="M53" s="16"/>
    </row>
    <row r="54" spans="1:13" x14ac:dyDescent="0.25">
      <c r="A54">
        <v>51</v>
      </c>
      <c r="B54" s="16">
        <f>'C Lång skärm'!$C$50*(1/(1+'C Lång skärm'!$C$10)^A54)*(('C Lång skärm'!$C$12+1)^40)</f>
        <v>31287.808439578308</v>
      </c>
      <c r="C54" s="16">
        <f>IF('C Lång skärm'!$C$8+1&gt;A54,B54,0)</f>
        <v>0</v>
      </c>
      <c r="D54" s="16">
        <f>'C Lång skärm'!$C$51*(1/(1+'C Lång skärm'!$C$10)^A54)*(('C Lång skärm'!$C$12+1)^40)</f>
        <v>29114.524824845983</v>
      </c>
      <c r="E54" s="16">
        <f>IF('C Lång skärm'!$C$8+1&gt;A54,D54,0)</f>
        <v>0</v>
      </c>
      <c r="F54" s="16">
        <f>'C Lång skärm'!$C$40/(POWER(1+'C Lång skärm'!$C$10,A54))</f>
        <v>7323.0235205614281</v>
      </c>
      <c r="G54" s="16">
        <f>IF('C Lång skärm'!$C$8+1&gt;A54,F54,0)</f>
        <v>0</v>
      </c>
      <c r="J54" s="16"/>
      <c r="K54" s="16"/>
      <c r="L54" s="16"/>
      <c r="M54" s="16"/>
    </row>
    <row r="55" spans="1:13" x14ac:dyDescent="0.25">
      <c r="A55">
        <v>52</v>
      </c>
      <c r="B55" s="16">
        <f>'C Lång skärm'!$C$50*(1/(1+'C Lång skärm'!$C$10)^A55)*(('C Lång skärm'!$C$12+1)^40)</f>
        <v>30229.766608288224</v>
      </c>
      <c r="C55" s="16">
        <f>IF('C Lång skärm'!$C$8+1&gt;A55,B55,0)</f>
        <v>0</v>
      </c>
      <c r="D55" s="16">
        <f>'C Lång skärm'!$C$51*(1/(1+'C Lång skärm'!$C$10)^A55)*(('C Lång skärm'!$C$12+1)^40)</f>
        <v>28129.975676179696</v>
      </c>
      <c r="E55" s="16">
        <f>IF('C Lång skärm'!$C$8+1&gt;A55,D55,0)</f>
        <v>0</v>
      </c>
      <c r="F55" s="16">
        <f>'C Lång skärm'!$C$40/(POWER(1+'C Lång skärm'!$C$10,A55))</f>
        <v>7075.3850440207043</v>
      </c>
      <c r="G55" s="16">
        <f>IF('C Lång skärm'!$C$8+1&gt;A55,F55,0)</f>
        <v>0</v>
      </c>
      <c r="J55" s="16"/>
      <c r="K55" s="16"/>
      <c r="L55" s="16"/>
      <c r="M55" s="16"/>
    </row>
    <row r="56" spans="1:13" x14ac:dyDescent="0.25">
      <c r="A56">
        <v>53</v>
      </c>
      <c r="B56" s="16">
        <f>'C Lång skärm'!$C$50*(1/(1+'C Lång skärm'!$C$10)^A56)*(('C Lång skärm'!$C$12+1)^40)</f>
        <v>29207.503969360605</v>
      </c>
      <c r="C56" s="16">
        <f>IF('C Lång skärm'!$C$8+1&gt;A56,B56,0)</f>
        <v>0</v>
      </c>
      <c r="D56" s="16">
        <f>'C Lång skärm'!$C$51*(1/(1+'C Lång skärm'!$C$10)^A56)*(('C Lång skärm'!$C$12+1)^40)</f>
        <v>27178.720460077009</v>
      </c>
      <c r="E56" s="16">
        <f>IF('C Lång skärm'!$C$8+1&gt;A56,D56,0)</f>
        <v>0</v>
      </c>
      <c r="F56" s="16">
        <f>'C Lång skärm'!$C$40/(POWER(1+'C Lång skärm'!$C$10,A56))</f>
        <v>6836.1208154789429</v>
      </c>
      <c r="G56" s="16">
        <f>IF('C Lång skärm'!$C$8+1&gt;A56,F56,0)</f>
        <v>0</v>
      </c>
      <c r="J56" s="16"/>
      <c r="K56" s="16"/>
      <c r="L56" s="16"/>
      <c r="M56" s="16"/>
    </row>
    <row r="57" spans="1:13" x14ac:dyDescent="0.25">
      <c r="A57">
        <v>54</v>
      </c>
      <c r="B57" s="16">
        <f>'C Lång skärm'!$C$50*(1/(1+'C Lång skärm'!$C$10)^A57)*(('C Lång skärm'!$C$12+1)^40)</f>
        <v>28219.81059841605</v>
      </c>
      <c r="C57" s="16">
        <f>IF('C Lång skärm'!$C$8+1&gt;A57,B57,0)</f>
        <v>0</v>
      </c>
      <c r="D57" s="16">
        <f>'C Lång skärm'!$C$51*(1/(1+'C Lång skärm'!$C$10)^A57)*(('C Lång skärm'!$C$12+1)^40)</f>
        <v>26259.633294760395</v>
      </c>
      <c r="E57" s="16">
        <f>IF('C Lång skärm'!$C$8+1&gt;A57,D57,0)</f>
        <v>0</v>
      </c>
      <c r="F57" s="16">
        <f>'C Lång skärm'!$C$40/(POWER(1+'C Lång skärm'!$C$10,A57))</f>
        <v>6604.9476478057413</v>
      </c>
      <c r="G57" s="16">
        <f>IF('C Lång skärm'!$C$8+1&gt;A57,F57,0)</f>
        <v>0</v>
      </c>
      <c r="J57" s="16"/>
      <c r="K57" s="16"/>
      <c r="L57" s="16"/>
      <c r="M57" s="16"/>
    </row>
    <row r="58" spans="1:13" x14ac:dyDescent="0.25">
      <c r="A58">
        <v>55</v>
      </c>
      <c r="B58" s="16">
        <f>'C Lång skärm'!$C$50*(1/(1+'C Lång skärm'!$C$10)^A58)*(('C Lång skärm'!$C$12+1)^40)</f>
        <v>27265.517486392309</v>
      </c>
      <c r="C58" s="16">
        <f>IF('C Lång skärm'!$C$8+1&gt;A58,B58,0)</f>
        <v>0</v>
      </c>
      <c r="D58" s="16">
        <f>'C Lång skärm'!$C$51*(1/(1+'C Lång skärm'!$C$10)^A58)*(('C Lång skärm'!$C$12+1)^40)</f>
        <v>25371.626371749171</v>
      </c>
      <c r="E58" s="16">
        <f>IF('C Lång skärm'!$C$8+1&gt;A58,D58,0)</f>
        <v>0</v>
      </c>
      <c r="F58" s="16">
        <f>'C Lång skärm'!$C$40/(POWER(1+'C Lång skärm'!$C$10,A58))</f>
        <v>6381.5919302470929</v>
      </c>
      <c r="G58" s="16">
        <f>IF('C Lång skärm'!$C$8+1&gt;A58,F58,0)</f>
        <v>0</v>
      </c>
      <c r="J58" s="16"/>
      <c r="K58" s="16"/>
      <c r="L58" s="16"/>
      <c r="M58" s="16"/>
    </row>
    <row r="59" spans="1:13" x14ac:dyDescent="0.25">
      <c r="A59">
        <v>56</v>
      </c>
      <c r="B59" s="16">
        <f>'C Lång skärm'!$C$50*(1/(1+'C Lång skärm'!$C$10)^A59)*(('C Lång skärm'!$C$12+1)^40)</f>
        <v>26343.495155934605</v>
      </c>
      <c r="C59" s="16">
        <f>IF('C Lång skärm'!$C$8+1&gt;A59,B59,0)</f>
        <v>0</v>
      </c>
      <c r="D59" s="16">
        <f>'C Lång skärm'!$C$51*(1/(1+'C Lång skärm'!$C$10)^A59)*(('C Lång skärm'!$C$12+1)^40)</f>
        <v>24513.648668356695</v>
      </c>
      <c r="E59" s="16">
        <f>IF('C Lång skärm'!$C$8+1&gt;A59,D59,0)</f>
        <v>0</v>
      </c>
      <c r="F59" s="16">
        <f>'C Lång skärm'!$C$40/(POWER(1+'C Lång skärm'!$C$10,A59))</f>
        <v>6165.7893045865649</v>
      </c>
      <c r="G59" s="16">
        <f>IF('C Lång skärm'!$C$8+1&gt;A59,F59,0)</f>
        <v>0</v>
      </c>
      <c r="J59" s="16"/>
      <c r="K59" s="16"/>
      <c r="L59" s="16"/>
      <c r="M59" s="16"/>
    </row>
    <row r="60" spans="1:13" x14ac:dyDescent="0.25">
      <c r="A60">
        <v>57</v>
      </c>
      <c r="B60" s="16">
        <f>'C Lång skärm'!$C$50*(1/(1+'C Lång skärm'!$C$10)^A60)*(('C Lång skärm'!$C$12+1)^40)</f>
        <v>25452.652324574505</v>
      </c>
      <c r="C60" s="16">
        <f>IF('C Lång skärm'!$C$8+1&gt;A60,B60,0)</f>
        <v>0</v>
      </c>
      <c r="D60" s="16">
        <f>'C Lång skärm'!$C$51*(1/(1+'C Lång skärm'!$C$10)^A60)*(('C Lång skärm'!$C$12+1)^40)</f>
        <v>23684.684703726274</v>
      </c>
      <c r="E60" s="16">
        <f>IF('C Lång skärm'!$C$8+1&gt;A60,D60,0)</f>
        <v>0</v>
      </c>
      <c r="F60" s="16">
        <f>'C Lång skärm'!$C$40/(POWER(1+'C Lång skärm'!$C$10,A60))</f>
        <v>5957.2843522575513</v>
      </c>
      <c r="G60" s="16">
        <f>IF('C Lång skärm'!$C$8+1&gt;A60,F60,0)</f>
        <v>0</v>
      </c>
      <c r="J60" s="16"/>
      <c r="K60" s="16"/>
      <c r="L60" s="16"/>
      <c r="M60" s="16"/>
    </row>
    <row r="61" spans="1:13" x14ac:dyDescent="0.25">
      <c r="A61">
        <v>58</v>
      </c>
      <c r="B61" s="16">
        <f>'C Lång skärm'!$C$50*(1/(1+'C Lång skärm'!$C$10)^A61)*(('C Lång skärm'!$C$12+1)^40)</f>
        <v>24591.93461311546</v>
      </c>
      <c r="C61" s="16">
        <f>IF('C Lång skärm'!$C$8+1&gt;A61,B61,0)</f>
        <v>0</v>
      </c>
      <c r="D61" s="16">
        <f>'C Lång skärm'!$C$51*(1/(1+'C Lång skärm'!$C$10)^A61)*(('C Lång skärm'!$C$12+1)^40)</f>
        <v>22883.753336933602</v>
      </c>
      <c r="E61" s="16">
        <f>IF('C Lång skärm'!$C$8+1&gt;A61,D61,0)</f>
        <v>0</v>
      </c>
      <c r="F61" s="16">
        <f>'C Lång skärm'!$C$40/(POWER(1+'C Lång skärm'!$C$10,A61))</f>
        <v>5755.8302920362812</v>
      </c>
      <c r="G61" s="16">
        <f>IF('C Lång skärm'!$C$8+1&gt;A61,F61,0)</f>
        <v>0</v>
      </c>
      <c r="J61" s="16"/>
      <c r="K61" s="16"/>
      <c r="L61" s="16"/>
      <c r="M61" s="16"/>
    </row>
    <row r="62" spans="1:13" x14ac:dyDescent="0.25">
      <c r="A62">
        <v>59</v>
      </c>
      <c r="B62" s="16">
        <f>'C Lång skärm'!$C$50*(1/(1+'C Lång skärm'!$C$10)^A62)*(('C Lång skärm'!$C$12+1)^40)</f>
        <v>23760.323297696094</v>
      </c>
      <c r="C62" s="16">
        <f>IF('C Lång skärm'!$C$8+1&gt;A62,B62,0)</f>
        <v>0</v>
      </c>
      <c r="D62" s="16">
        <f>'C Lång skärm'!$C$51*(1/(1+'C Lång skärm'!$C$10)^A62)*(('C Lång skärm'!$C$12+1)^40)</f>
        <v>22109.906605732944</v>
      </c>
      <c r="E62" s="16">
        <f>IF('C Lång skärm'!$C$8+1&gt;A62,D62,0)</f>
        <v>0</v>
      </c>
      <c r="F62" s="16">
        <f>'C Lång skärm'!$C$40/(POWER(1+'C Lång skärm'!$C$10,A62))</f>
        <v>5561.1886879577596</v>
      </c>
      <c r="G62" s="16">
        <f>IF('C Lång skärm'!$C$8+1&gt;A62,F62,0)</f>
        <v>0</v>
      </c>
      <c r="J62" s="16"/>
      <c r="K62" s="16"/>
      <c r="L62" s="16"/>
      <c r="M62" s="16"/>
    </row>
    <row r="63" spans="1:13" x14ac:dyDescent="0.25">
      <c r="A63">
        <v>60</v>
      </c>
      <c r="B63" s="16">
        <f>'C Lång skärm'!$C$50*(1/(1+'C Lång skärm'!$C$10)^A63)*(('C Lång skärm'!$C$12+1)^40)</f>
        <v>22956.8341040542</v>
      </c>
      <c r="C63" s="16">
        <f>IF('C Lång skärm'!$C$8+1&gt;A63,B63,0)</f>
        <v>0</v>
      </c>
      <c r="D63" s="16">
        <f>'C Lång skärm'!$C$51*(1/(1+'C Lång skärm'!$C$10)^A63)*(('C Lång skärm'!$C$12+1)^40)</f>
        <v>21362.228604572898</v>
      </c>
      <c r="E63" s="16">
        <f>IF('C Lång skärm'!$C$8+1&gt;A63,D63,0)</f>
        <v>0</v>
      </c>
      <c r="F63" s="16">
        <f>'C Lång skärm'!$C$40/(POWER(1+'C Lång skärm'!$C$10,A63))</f>
        <v>5373.1291671089466</v>
      </c>
      <c r="G63" s="16">
        <f>IF('C Lång skärm'!$C$8+1&gt;A63,F63,0)</f>
        <v>0</v>
      </c>
      <c r="J63" s="16"/>
      <c r="K63" s="16"/>
      <c r="L63" s="16"/>
      <c r="M63" s="16"/>
    </row>
    <row r="64" spans="1:13" x14ac:dyDescent="0.25">
      <c r="B64" s="16"/>
      <c r="C64" s="16">
        <f>SUM(C3:C63)</f>
        <v>2960995.3804218341</v>
      </c>
      <c r="D64" s="16"/>
      <c r="E64" s="16">
        <f>SUM(E3:E63)</f>
        <v>2755321.5712128552</v>
      </c>
      <c r="F64" s="16"/>
      <c r="G64" s="16">
        <f>SUM(G3:G63)</f>
        <v>903960.21203780547</v>
      </c>
      <c r="J64" s="16"/>
      <c r="K64" s="16"/>
      <c r="L64" s="16"/>
      <c r="M64" s="16"/>
    </row>
    <row r="65" spans="2:13" x14ac:dyDescent="0.25">
      <c r="B65" s="16"/>
      <c r="C65" s="16"/>
      <c r="D65" s="16"/>
      <c r="E65" s="16"/>
      <c r="F65" s="16"/>
      <c r="G65" s="16"/>
      <c r="J65" s="16"/>
      <c r="K65" s="16"/>
      <c r="L65" s="16"/>
      <c r="M65" s="16"/>
    </row>
    <row r="66" spans="2:13" x14ac:dyDescent="0.25">
      <c r="F66" s="16"/>
      <c r="G66" s="16"/>
      <c r="M66" s="16"/>
    </row>
    <row r="67" spans="2:13" x14ac:dyDescent="0.25">
      <c r="B67" s="16"/>
      <c r="C67" s="16"/>
      <c r="D67" s="16"/>
      <c r="E67" s="16"/>
      <c r="F67" s="16"/>
      <c r="G67" s="16"/>
      <c r="J67" s="16"/>
      <c r="K67" s="16"/>
      <c r="L67" s="16"/>
      <c r="M67" s="16"/>
    </row>
    <row r="68" spans="2:13" x14ac:dyDescent="0.25">
      <c r="B68" s="16"/>
      <c r="C68" s="16"/>
      <c r="D68" s="16"/>
      <c r="E68" s="16"/>
      <c r="J68" s="16"/>
      <c r="K68" s="16"/>
      <c r="L68" s="16"/>
    </row>
    <row r="69" spans="2:13" x14ac:dyDescent="0.25">
      <c r="B69" s="16"/>
      <c r="C69" s="16"/>
      <c r="D69" s="16"/>
      <c r="E69" s="16"/>
      <c r="J69" s="16"/>
      <c r="K69" s="16"/>
      <c r="L69" s="16"/>
    </row>
    <row r="70" spans="2:13" x14ac:dyDescent="0.25">
      <c r="B70" s="16"/>
      <c r="C70" s="16"/>
      <c r="D70" s="16"/>
      <c r="E70" s="16"/>
      <c r="J70" s="16"/>
      <c r="K70" s="16"/>
      <c r="L70" s="16"/>
    </row>
    <row r="71" spans="2:13" x14ac:dyDescent="0.25">
      <c r="B71" s="16"/>
      <c r="C71" s="16"/>
      <c r="D71" s="16"/>
      <c r="E71" s="16"/>
      <c r="J71" s="16"/>
      <c r="K71" s="16"/>
      <c r="L71" s="16"/>
    </row>
    <row r="72" spans="2:13" x14ac:dyDescent="0.25">
      <c r="B72" s="16"/>
      <c r="C72" s="16"/>
      <c r="D72" s="16"/>
      <c r="E72" s="16"/>
      <c r="J72" s="16"/>
      <c r="K72" s="16"/>
      <c r="L72" s="16"/>
    </row>
    <row r="73" spans="2:13" x14ac:dyDescent="0.25">
      <c r="B73" s="16"/>
      <c r="C73" s="16"/>
      <c r="D73" s="16"/>
      <c r="E73" s="16"/>
      <c r="J73" s="16"/>
      <c r="K73" s="16"/>
      <c r="L73" s="16"/>
    </row>
    <row r="74" spans="2:13" x14ac:dyDescent="0.25">
      <c r="B74" s="16"/>
      <c r="C74" s="16"/>
      <c r="D74" s="16"/>
      <c r="E74" s="16"/>
      <c r="J74" s="16"/>
      <c r="K74" s="16"/>
      <c r="L74" s="16"/>
    </row>
    <row r="75" spans="2:13" x14ac:dyDescent="0.25">
      <c r="B75" s="16"/>
      <c r="C75" s="16"/>
      <c r="D75" s="16"/>
      <c r="E75" s="16"/>
      <c r="J75" s="16"/>
      <c r="K75" s="16"/>
      <c r="L75" s="16"/>
    </row>
    <row r="76" spans="2:13" x14ac:dyDescent="0.25">
      <c r="B76" s="16"/>
      <c r="C76" s="16"/>
      <c r="D76" s="16"/>
      <c r="E76" s="16"/>
      <c r="J76" s="16"/>
      <c r="K76" s="16"/>
      <c r="L76" s="16"/>
    </row>
    <row r="77" spans="2:13" x14ac:dyDescent="0.25">
      <c r="B77" s="16"/>
      <c r="C77" s="16"/>
      <c r="D77" s="16"/>
      <c r="E77" s="16"/>
      <c r="J77" s="16"/>
      <c r="K77" s="16"/>
      <c r="L77" s="16"/>
    </row>
    <row r="78" spans="2:13" x14ac:dyDescent="0.25">
      <c r="B78" s="16"/>
      <c r="C78" s="16"/>
      <c r="D78" s="16"/>
      <c r="E78" s="16"/>
      <c r="J78" s="16"/>
      <c r="K78" s="16"/>
      <c r="L78" s="16"/>
    </row>
    <row r="79" spans="2:13" x14ac:dyDescent="0.25">
      <c r="B79" s="16"/>
      <c r="C79" s="16"/>
      <c r="D79" s="16"/>
      <c r="E79" s="16"/>
      <c r="J79" s="16"/>
      <c r="K79" s="16"/>
      <c r="L79" s="16"/>
    </row>
    <row r="80" spans="2:13" x14ac:dyDescent="0.25">
      <c r="B80" s="16"/>
      <c r="C80" s="16"/>
      <c r="D80" s="16"/>
      <c r="E80" s="16"/>
      <c r="J80" s="16"/>
      <c r="K80" s="16"/>
      <c r="L80" s="16"/>
    </row>
    <row r="81" spans="2:12" x14ac:dyDescent="0.25">
      <c r="B81" s="16"/>
      <c r="C81" s="16"/>
      <c r="D81" s="16"/>
      <c r="E81" s="16"/>
      <c r="J81" s="16"/>
      <c r="K81" s="16"/>
      <c r="L81" s="16"/>
    </row>
    <row r="82" spans="2:12" x14ac:dyDescent="0.25">
      <c r="B82" s="16"/>
      <c r="C82" s="16"/>
      <c r="D82" s="16"/>
      <c r="E82" s="16"/>
      <c r="J82" s="16"/>
      <c r="K82" s="16"/>
      <c r="L82" s="16"/>
    </row>
    <row r="83" spans="2:12" x14ac:dyDescent="0.25">
      <c r="B83" s="16"/>
      <c r="C83" s="16"/>
      <c r="D83" s="16"/>
      <c r="E83" s="16"/>
      <c r="J83" s="16"/>
      <c r="K83" s="16"/>
      <c r="L83" s="16"/>
    </row>
    <row r="84" spans="2:12" x14ac:dyDescent="0.25">
      <c r="B84" s="16"/>
      <c r="C84" s="16"/>
      <c r="D84" s="16"/>
      <c r="E84" s="16"/>
      <c r="J84" s="16"/>
      <c r="K84" s="16"/>
      <c r="L84" s="16"/>
    </row>
    <row r="85" spans="2:12" x14ac:dyDescent="0.25">
      <c r="B85" s="16"/>
      <c r="C85" s="16"/>
      <c r="D85" s="16"/>
      <c r="E85" s="16"/>
      <c r="J85" s="16"/>
      <c r="K85" s="16"/>
      <c r="L85" s="16"/>
    </row>
    <row r="86" spans="2:12" x14ac:dyDescent="0.25">
      <c r="B86" s="16"/>
      <c r="C86" s="16"/>
      <c r="D86" s="16"/>
      <c r="E86" s="16"/>
      <c r="J86" s="16"/>
      <c r="K86" s="16"/>
      <c r="L86" s="16"/>
    </row>
    <row r="87" spans="2:12" x14ac:dyDescent="0.25">
      <c r="B87" s="16"/>
      <c r="C87" s="16"/>
      <c r="D87" s="16"/>
      <c r="E87" s="16"/>
      <c r="J87" s="16"/>
      <c r="K87" s="16"/>
      <c r="L87" s="16"/>
    </row>
    <row r="88" spans="2:12" x14ac:dyDescent="0.25">
      <c r="B88" s="16"/>
      <c r="C88" s="16"/>
      <c r="D88" s="16"/>
      <c r="E88" s="16"/>
      <c r="J88" s="16"/>
      <c r="K88" s="16"/>
      <c r="L88" s="16"/>
    </row>
    <row r="89" spans="2:12" x14ac:dyDescent="0.25">
      <c r="B89" s="16"/>
      <c r="C89" s="16"/>
      <c r="D89" s="16"/>
      <c r="E89" s="16"/>
      <c r="J89" s="16"/>
      <c r="K89" s="16"/>
      <c r="L89" s="16"/>
    </row>
    <row r="90" spans="2:12" x14ac:dyDescent="0.25">
      <c r="B90" s="16"/>
      <c r="C90" s="16"/>
      <c r="D90" s="16"/>
      <c r="E90" s="16"/>
      <c r="J90" s="16"/>
      <c r="K90" s="16"/>
      <c r="L90" s="16"/>
    </row>
    <row r="91" spans="2:12" x14ac:dyDescent="0.25">
      <c r="B91" s="16"/>
      <c r="C91" s="16"/>
      <c r="D91" s="16"/>
      <c r="E91" s="16"/>
      <c r="J91" s="16"/>
      <c r="K91" s="16"/>
      <c r="L91" s="16"/>
    </row>
    <row r="92" spans="2:12" x14ac:dyDescent="0.25">
      <c r="B92" s="16"/>
      <c r="C92" s="16"/>
      <c r="D92" s="16"/>
      <c r="E92" s="16"/>
      <c r="J92" s="16"/>
      <c r="K92" s="16"/>
      <c r="L92" s="16"/>
    </row>
    <row r="93" spans="2:12" x14ac:dyDescent="0.25">
      <c r="B93" s="16"/>
      <c r="C93" s="16"/>
      <c r="D93" s="16"/>
      <c r="E93" s="16"/>
      <c r="J93" s="16"/>
      <c r="K93" s="16"/>
      <c r="L93" s="16"/>
    </row>
    <row r="94" spans="2:12" x14ac:dyDescent="0.25">
      <c r="B94" s="16"/>
      <c r="C94" s="16"/>
      <c r="D94" s="16"/>
      <c r="E94" s="16"/>
      <c r="J94" s="16"/>
      <c r="K94" s="16"/>
      <c r="L94" s="16"/>
    </row>
    <row r="95" spans="2:12" x14ac:dyDescent="0.25">
      <c r="B95" s="16"/>
      <c r="C95" s="16"/>
      <c r="D95" s="16"/>
      <c r="E95" s="16"/>
      <c r="J95" s="16"/>
      <c r="K95" s="16"/>
      <c r="L95" s="16"/>
    </row>
    <row r="96" spans="2:12" x14ac:dyDescent="0.25">
      <c r="B96" s="16"/>
      <c r="C96" s="16"/>
      <c r="D96" s="16"/>
      <c r="E96" s="16"/>
      <c r="J96" s="16"/>
      <c r="K96" s="16"/>
      <c r="L96" s="16"/>
    </row>
    <row r="97" spans="2:12" x14ac:dyDescent="0.25">
      <c r="B97" s="16"/>
      <c r="C97" s="16"/>
      <c r="D97" s="16"/>
      <c r="E97" s="16"/>
      <c r="J97" s="16"/>
      <c r="K97" s="16"/>
      <c r="L97" s="16"/>
    </row>
    <row r="98" spans="2:12" x14ac:dyDescent="0.25">
      <c r="B98" s="16"/>
      <c r="C98" s="16"/>
      <c r="D98" s="16"/>
      <c r="E98" s="16"/>
      <c r="J98" s="16"/>
      <c r="K98" s="16"/>
      <c r="L98" s="16"/>
    </row>
    <row r="99" spans="2:12" x14ac:dyDescent="0.25">
      <c r="B99" s="16"/>
      <c r="C99" s="16"/>
      <c r="D99" s="16"/>
      <c r="E99" s="16"/>
      <c r="J99" s="16"/>
      <c r="K99" s="16"/>
      <c r="L99" s="16"/>
    </row>
    <row r="100" spans="2:12" x14ac:dyDescent="0.25">
      <c r="B100" s="16"/>
      <c r="C100" s="16"/>
      <c r="D100" s="16"/>
      <c r="E100" s="16"/>
      <c r="J100" s="16"/>
      <c r="K100" s="16"/>
      <c r="L100" s="16"/>
    </row>
    <row r="101" spans="2:12" x14ac:dyDescent="0.25">
      <c r="B101" s="16"/>
      <c r="C101" s="16"/>
      <c r="D101" s="16"/>
      <c r="E101" s="16"/>
      <c r="J101" s="16"/>
      <c r="K101" s="16"/>
      <c r="L101" s="16"/>
    </row>
    <row r="102" spans="2:12" x14ac:dyDescent="0.25">
      <c r="B102" s="16"/>
      <c r="C102" s="16"/>
      <c r="D102" s="16"/>
      <c r="E102" s="16"/>
      <c r="J102" s="16"/>
      <c r="K102" s="16"/>
      <c r="L102" s="16"/>
    </row>
    <row r="103" spans="2:12" x14ac:dyDescent="0.25">
      <c r="B103" s="16"/>
      <c r="C103" s="16"/>
      <c r="D103" s="16"/>
      <c r="E103" s="16"/>
      <c r="J103" s="16"/>
      <c r="K103" s="16"/>
      <c r="L103" s="16"/>
    </row>
    <row r="104" spans="2:12" x14ac:dyDescent="0.25">
      <c r="B104" s="16"/>
      <c r="C104" s="16"/>
      <c r="D104" s="16"/>
      <c r="E104" s="16"/>
      <c r="J104" s="16"/>
      <c r="K104" s="16"/>
      <c r="L104" s="16"/>
    </row>
    <row r="105" spans="2:12" x14ac:dyDescent="0.25">
      <c r="B105" s="16"/>
      <c r="C105" s="16"/>
      <c r="D105" s="16"/>
      <c r="E105" s="16"/>
      <c r="J105" s="16"/>
      <c r="K105" s="16"/>
      <c r="L105" s="16"/>
    </row>
    <row r="106" spans="2:12" x14ac:dyDescent="0.25">
      <c r="B106" s="16"/>
      <c r="C106" s="16"/>
      <c r="D106" s="16"/>
      <c r="E106" s="16"/>
      <c r="J106" s="16"/>
      <c r="K106" s="16"/>
      <c r="L106" s="16"/>
    </row>
    <row r="107" spans="2:12" x14ac:dyDescent="0.25">
      <c r="B107" s="16"/>
      <c r="C107" s="16"/>
      <c r="D107" s="16"/>
      <c r="E107" s="16"/>
      <c r="J107" s="16"/>
      <c r="K107" s="16"/>
      <c r="L107" s="16"/>
    </row>
    <row r="108" spans="2:12" x14ac:dyDescent="0.25">
      <c r="B108" s="16"/>
      <c r="C108" s="16"/>
      <c r="D108" s="16"/>
      <c r="E108" s="16"/>
      <c r="J108" s="16"/>
      <c r="K108" s="16"/>
      <c r="L108" s="16"/>
    </row>
    <row r="109" spans="2:12" x14ac:dyDescent="0.25">
      <c r="B109" s="16"/>
    </row>
    <row r="110" spans="2:12" x14ac:dyDescent="0.25">
      <c r="B110" s="16"/>
    </row>
    <row r="111" spans="2:12" x14ac:dyDescent="0.25">
      <c r="B111" s="16"/>
    </row>
    <row r="112" spans="2:12" x14ac:dyDescent="0.25">
      <c r="B112" s="16"/>
    </row>
    <row r="113" spans="2:2" x14ac:dyDescent="0.25">
      <c r="B113" s="16"/>
    </row>
    <row r="114" spans="2:2" x14ac:dyDescent="0.25">
      <c r="B114" s="16"/>
    </row>
    <row r="115" spans="2:2" x14ac:dyDescent="0.25">
      <c r="B115" s="16"/>
    </row>
    <row r="116" spans="2:2" x14ac:dyDescent="0.25">
      <c r="B116" s="16"/>
    </row>
    <row r="117" spans="2:2" x14ac:dyDescent="0.25">
      <c r="B117" s="16"/>
    </row>
    <row r="118" spans="2:2" x14ac:dyDescent="0.25">
      <c r="B118" s="16"/>
    </row>
    <row r="119" spans="2:2" x14ac:dyDescent="0.25">
      <c r="B119" s="16"/>
    </row>
    <row r="120" spans="2:2" x14ac:dyDescent="0.25">
      <c r="B120" s="16"/>
    </row>
    <row r="121" spans="2:2" x14ac:dyDescent="0.25">
      <c r="B121" s="16"/>
    </row>
    <row r="122" spans="2:2" x14ac:dyDescent="0.25">
      <c r="B122" s="16"/>
    </row>
    <row r="123" spans="2:2" x14ac:dyDescent="0.25">
      <c r="B123" s="16"/>
    </row>
    <row r="124" spans="2:2" x14ac:dyDescent="0.25">
      <c r="B124" s="16"/>
    </row>
    <row r="125" spans="2:2" x14ac:dyDescent="0.25">
      <c r="B125" s="16"/>
    </row>
    <row r="126" spans="2:2" x14ac:dyDescent="0.25">
      <c r="B126" s="16"/>
    </row>
    <row r="127" spans="2:2" x14ac:dyDescent="0.25">
      <c r="B127" s="16"/>
    </row>
    <row r="128" spans="2:2" x14ac:dyDescent="0.25">
      <c r="B128" s="16"/>
    </row>
    <row r="129" spans="2:2" x14ac:dyDescent="0.25">
      <c r="B129" s="16"/>
    </row>
    <row r="130" spans="2:2" x14ac:dyDescent="0.25">
      <c r="B130" s="16"/>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130"/>
  <sheetViews>
    <sheetView topLeftCell="A28" workbookViewId="0">
      <selection activeCell="G64" sqref="G64"/>
    </sheetView>
  </sheetViews>
  <sheetFormatPr defaultRowHeight="12.5" x14ac:dyDescent="0.25"/>
  <cols>
    <col min="1" max="1" width="3" bestFit="1" customWidth="1"/>
    <col min="2" max="2" width="9.453125" bestFit="1" customWidth="1"/>
    <col min="3" max="3" width="10.81640625" bestFit="1" customWidth="1"/>
    <col min="4" max="4" width="8.54296875" bestFit="1" customWidth="1"/>
    <col min="5" max="5" width="10.81640625" bestFit="1" customWidth="1"/>
    <col min="6" max="6" width="8.7265625" bestFit="1" customWidth="1"/>
    <col min="7" max="7" width="11.1796875" bestFit="1" customWidth="1"/>
    <col min="8" max="8" width="4.1796875" customWidth="1"/>
    <col min="9" max="9" width="3" bestFit="1" customWidth="1"/>
    <col min="10" max="11" width="10.81640625" bestFit="1" customWidth="1"/>
    <col min="12" max="12" width="10.81640625" customWidth="1"/>
    <col min="13" max="13" width="11.1796875" bestFit="1" customWidth="1"/>
  </cols>
  <sheetData>
    <row r="1" spans="1:18" x14ac:dyDescent="0.25">
      <c r="B1" s="35" t="s">
        <v>51</v>
      </c>
      <c r="C1" t="s">
        <v>51</v>
      </c>
      <c r="D1" t="s">
        <v>52</v>
      </c>
      <c r="E1" t="s">
        <v>52</v>
      </c>
      <c r="F1" t="s">
        <v>26</v>
      </c>
      <c r="G1" t="s">
        <v>26</v>
      </c>
    </row>
    <row r="2" spans="1:18" x14ac:dyDescent="0.25">
      <c r="A2" t="s">
        <v>14</v>
      </c>
      <c r="B2" s="35"/>
      <c r="C2" t="s">
        <v>21</v>
      </c>
      <c r="E2" t="s">
        <v>21</v>
      </c>
      <c r="F2" s="35" t="s">
        <v>158</v>
      </c>
      <c r="G2" t="s">
        <v>22</v>
      </c>
      <c r="J2" t="s">
        <v>51</v>
      </c>
      <c r="K2" t="s">
        <v>52</v>
      </c>
      <c r="L2" t="s">
        <v>159</v>
      </c>
      <c r="M2" t="s">
        <v>26</v>
      </c>
    </row>
    <row r="3" spans="1:18" x14ac:dyDescent="0.25">
      <c r="A3">
        <v>0</v>
      </c>
      <c r="B3">
        <v>0</v>
      </c>
      <c r="C3" s="16">
        <f>IF('D Vall'!$C$8+1&gt;A3,B3,0)</f>
        <v>0</v>
      </c>
      <c r="D3" s="16"/>
      <c r="E3" s="16"/>
      <c r="H3" s="16"/>
      <c r="I3">
        <v>0</v>
      </c>
      <c r="J3" s="16"/>
      <c r="K3" s="16"/>
      <c r="L3" s="16">
        <f>'D Vall'!D43*-1</f>
        <v>0</v>
      </c>
      <c r="Q3" s="16"/>
      <c r="R3" s="16"/>
    </row>
    <row r="4" spans="1:18" x14ac:dyDescent="0.25">
      <c r="A4">
        <v>1</v>
      </c>
      <c r="B4" s="16">
        <f>'D Vall'!$C$49*(1/(1+'D Vall'!$C$10)^A4)*(('D Vall'!$C$12+1)^NuvVall!A4)</f>
        <v>111872.42095484087</v>
      </c>
      <c r="C4" s="16">
        <f>IF('D Vall'!$C$8+1&gt;A4,B4,0)</f>
        <v>111872.42095484087</v>
      </c>
      <c r="D4" s="16">
        <f>'D Vall'!$C$50*(1/(1+'D Vall'!$C$10)^A4)*(('D Vall'!$C$12+1)^NuvVall!A4)</f>
        <v>104101.64660127387</v>
      </c>
      <c r="E4" s="16">
        <f>IF('D Vall'!$C$8+1&gt;A4,D4,0)</f>
        <v>104101.64660127387</v>
      </c>
      <c r="F4" s="16">
        <f>'D Vall'!$C$46/(POWER(1+'D Vall'!$C$10,A4))</f>
        <v>20579.710144927536</v>
      </c>
      <c r="G4" s="16">
        <f>IF('D Vall'!$C$8+1&gt;A4,F4,0)</f>
        <v>20579.710144927536</v>
      </c>
      <c r="H4" s="16"/>
      <c r="I4">
        <v>1</v>
      </c>
      <c r="J4" s="16">
        <f t="shared" ref="J4:J44" si="0">C4</f>
        <v>111872.42095484087</v>
      </c>
      <c r="K4" s="16">
        <f t="shared" ref="K4:K44" si="1">E4</f>
        <v>104101.64660127387</v>
      </c>
      <c r="L4" s="16"/>
      <c r="M4" s="16">
        <f t="shared" ref="M4:M44" si="2">G4*-1</f>
        <v>-20579.710144927536</v>
      </c>
      <c r="Q4" s="16"/>
      <c r="R4" s="16"/>
    </row>
    <row r="5" spans="1:18" x14ac:dyDescent="0.25">
      <c r="A5">
        <v>2</v>
      </c>
      <c r="B5" s="16">
        <f>'D Vall'!$C$49*(1/(1+'D Vall'!$C$10)^A5)*(('D Vall'!$C$12+1)^NuvVall!A5)</f>
        <v>109332.32250804016</v>
      </c>
      <c r="C5" s="16">
        <f>IF('D Vall'!$C$8+1&gt;A5,B5,0)</f>
        <v>109332.32250804016</v>
      </c>
      <c r="D5" s="16">
        <f>'D Vall'!$C$50*(1/(1+'D Vall'!$C$10)^A5)*(('D Vall'!$C$12+1)^NuvVall!A5)</f>
        <v>101737.98602626911</v>
      </c>
      <c r="E5" s="16">
        <f>IF('D Vall'!$C$8+1&gt;A5,D5,0)</f>
        <v>101737.98602626911</v>
      </c>
      <c r="F5" s="16">
        <f>'D Vall'!$C$46/(POWER(1+'D Vall'!$C$10,A5))</f>
        <v>19883.777917804386</v>
      </c>
      <c r="G5" s="16">
        <f>IF('D Vall'!$C$8+1&gt;A5,F5,0)</f>
        <v>19883.777917804386</v>
      </c>
      <c r="H5" s="16"/>
      <c r="I5">
        <v>2</v>
      </c>
      <c r="J5" s="16">
        <f t="shared" si="0"/>
        <v>109332.32250804016</v>
      </c>
      <c r="K5" s="16">
        <f t="shared" si="1"/>
        <v>101737.98602626911</v>
      </c>
      <c r="L5" s="16"/>
      <c r="M5" s="16">
        <f t="shared" si="2"/>
        <v>-19883.777917804386</v>
      </c>
      <c r="Q5" s="16"/>
      <c r="R5" s="16"/>
    </row>
    <row r="6" spans="1:18" x14ac:dyDescent="0.25">
      <c r="A6">
        <v>3</v>
      </c>
      <c r="B6" s="16">
        <f>'D Vall'!$C$49*(1/(1+'D Vall'!$C$10)^A6)*(('D Vall'!$C$12+1)^NuvVall!A6)</f>
        <v>106849.89779408951</v>
      </c>
      <c r="C6" s="16">
        <f>IF('D Vall'!$C$8+1&gt;A6,B6,0)</f>
        <v>106849.89779408951</v>
      </c>
      <c r="D6" s="16">
        <f>'D Vall'!$C$50*(1/(1+'D Vall'!$C$10)^A6)*(('D Vall'!$C$12+1)^NuvVall!A6)</f>
        <v>99427.993106832102</v>
      </c>
      <c r="E6" s="16">
        <f>IF('D Vall'!$C$8+1&gt;A6,D6,0)</f>
        <v>99427.993106832102</v>
      </c>
      <c r="F6" s="16">
        <f>'D Vall'!$C$46/(POWER(1+'D Vall'!$C$10,A6))</f>
        <v>19211.379630728876</v>
      </c>
      <c r="G6" s="16">
        <f>IF('D Vall'!$C$8+1&gt;A6,F6,0)</f>
        <v>19211.379630728876</v>
      </c>
      <c r="H6" s="16"/>
      <c r="I6">
        <v>3</v>
      </c>
      <c r="J6" s="16">
        <f t="shared" si="0"/>
        <v>106849.89779408951</v>
      </c>
      <c r="K6" s="16">
        <f t="shared" si="1"/>
        <v>99427.993106832102</v>
      </c>
      <c r="L6" s="16"/>
      <c r="M6" s="16">
        <f t="shared" si="2"/>
        <v>-19211.379630728876</v>
      </c>
      <c r="Q6" s="16"/>
      <c r="R6" s="16"/>
    </row>
    <row r="7" spans="1:18" x14ac:dyDescent="0.25">
      <c r="A7">
        <v>4</v>
      </c>
      <c r="B7" s="16">
        <f>'D Vall'!$C$49*(1/(1+'D Vall'!$C$10)^A7)*(('D Vall'!$C$12+1)^NuvVall!A7)</f>
        <v>104423.83731277444</v>
      </c>
      <c r="C7" s="16">
        <f>IF('D Vall'!$C$8+1&gt;A7,B7,0)</f>
        <v>104423.83731277444</v>
      </c>
      <c r="D7" s="16">
        <f>'D Vall'!$C$50*(1/(1+'D Vall'!$C$10)^A7)*(('D Vall'!$C$12+1)^NuvVall!A7)</f>
        <v>97170.449301991001</v>
      </c>
      <c r="E7" s="16">
        <f>IF('D Vall'!$C$8+1&gt;A7,D7,0)</f>
        <v>97170.449301991001</v>
      </c>
      <c r="F7" s="16">
        <f>'D Vall'!$C$46/(POWER(1+'D Vall'!$C$10,A7))</f>
        <v>18561.719449979591</v>
      </c>
      <c r="G7" s="16">
        <f>IF('D Vall'!$C$8+1&gt;A7,F7,0)</f>
        <v>18561.719449979591</v>
      </c>
      <c r="H7" s="16"/>
      <c r="I7">
        <v>4</v>
      </c>
      <c r="J7" s="16">
        <f t="shared" si="0"/>
        <v>104423.83731277444</v>
      </c>
      <c r="K7" s="16">
        <f t="shared" si="1"/>
        <v>97170.449301991001</v>
      </c>
      <c r="L7" s="16"/>
      <c r="M7" s="16">
        <f t="shared" si="2"/>
        <v>-18561.719449979591</v>
      </c>
      <c r="Q7" s="16"/>
      <c r="R7" s="16"/>
    </row>
    <row r="8" spans="1:18" x14ac:dyDescent="0.25">
      <c r="A8">
        <v>5</v>
      </c>
      <c r="B8" s="16">
        <f>'D Vall'!$C$49*(1/(1+'D Vall'!$C$10)^A8)*(('D Vall'!$C$12+1)^NuvVall!A8)</f>
        <v>102052.86129649408</v>
      </c>
      <c r="C8" s="16">
        <f>IF('D Vall'!$C$8+1&gt;A8,B8,0)</f>
        <v>102052.86129649408</v>
      </c>
      <c r="D8" s="16">
        <f>'D Vall'!$C$50*(1/(1+'D Vall'!$C$10)^A8)*(('D Vall'!$C$12+1)^NuvVall!A8)</f>
        <v>94964.163738129384</v>
      </c>
      <c r="E8" s="16">
        <f>IF('D Vall'!$C$8+1&gt;A8,D8,0)</f>
        <v>94964.163738129384</v>
      </c>
      <c r="F8" s="16">
        <f>'D Vall'!$C$46/(POWER(1+'D Vall'!$C$10,A8))</f>
        <v>17934.028454086565</v>
      </c>
      <c r="G8" s="16">
        <f>IF('D Vall'!$C$8+1&gt;A8,F8,0)</f>
        <v>17934.028454086565</v>
      </c>
      <c r="H8" s="16"/>
      <c r="I8">
        <v>5</v>
      </c>
      <c r="J8" s="16">
        <f t="shared" si="0"/>
        <v>102052.86129649408</v>
      </c>
      <c r="K8" s="16">
        <f t="shared" si="1"/>
        <v>94964.163738129384</v>
      </c>
      <c r="L8" s="16"/>
      <c r="M8" s="16">
        <f t="shared" si="2"/>
        <v>-17934.028454086565</v>
      </c>
      <c r="Q8" s="16"/>
      <c r="R8" s="16"/>
    </row>
    <row r="9" spans="1:18" x14ac:dyDescent="0.25">
      <c r="A9">
        <v>6</v>
      </c>
      <c r="B9" s="16">
        <f>'D Vall'!$C$49*(1/(1+'D Vall'!$C$10)^A9)*(('D Vall'!$C$12+1)^NuvVall!A9)</f>
        <v>99735.719035172719</v>
      </c>
      <c r="C9" s="16">
        <f>IF('D Vall'!$C$8+1&gt;A9,B9,0)</f>
        <v>99735.719035172719</v>
      </c>
      <c r="D9" s="16">
        <f>'D Vall'!$C$50*(1/(1+'D Vall'!$C$10)^A9)*(('D Vall'!$C$12+1)^NuvVall!A9)</f>
        <v>92807.972580790214</v>
      </c>
      <c r="E9" s="16">
        <f>IF('D Vall'!$C$8+1&gt;A9,D9,0)</f>
        <v>92807.972580790214</v>
      </c>
      <c r="F9" s="16">
        <f>'D Vall'!$C$46/(POWER(1+'D Vall'!$C$10,A9))</f>
        <v>17327.563723755135</v>
      </c>
      <c r="G9" s="16">
        <f>IF('D Vall'!$C$8+1&gt;A9,F9,0)</f>
        <v>17327.563723755135</v>
      </c>
      <c r="H9" s="16"/>
      <c r="I9">
        <v>6</v>
      </c>
      <c r="J9" s="16">
        <f t="shared" si="0"/>
        <v>99735.719035172719</v>
      </c>
      <c r="K9" s="16">
        <f t="shared" si="1"/>
        <v>92807.972580790214</v>
      </c>
      <c r="L9" s="16"/>
      <c r="M9" s="16">
        <f t="shared" si="2"/>
        <v>-17327.563723755135</v>
      </c>
      <c r="Q9" s="16"/>
      <c r="R9" s="16"/>
    </row>
    <row r="10" spans="1:18" x14ac:dyDescent="0.25">
      <c r="A10">
        <v>7</v>
      </c>
      <c r="B10" s="16">
        <f>'D Vall'!$C$49*(1/(1+'D Vall'!$C$10)^A10)*(('D Vall'!$C$12+1)^NuvVall!A10)</f>
        <v>97471.188216499722</v>
      </c>
      <c r="C10" s="16">
        <f>IF('D Vall'!$C$8+1&gt;A10,B10,0)</f>
        <v>97471.188216499722</v>
      </c>
      <c r="D10" s="16">
        <f>'D Vall'!$C$50*(1/(1+'D Vall'!$C$10)^A10)*(('D Vall'!$C$12+1)^NuvVall!A10)</f>
        <v>90700.738420743306</v>
      </c>
      <c r="E10" s="16">
        <f>IF('D Vall'!$C$8+1&gt;A10,D10,0)</f>
        <v>90700.738420743306</v>
      </c>
      <c r="F10" s="16">
        <f>'D Vall'!$C$46/(POWER(1+'D Vall'!$C$10,A10))</f>
        <v>16741.607462565349</v>
      </c>
      <c r="G10" s="16">
        <f>IF('D Vall'!$C$8+1&gt;A10,F10,0)</f>
        <v>16741.607462565349</v>
      </c>
      <c r="H10" s="16"/>
      <c r="I10">
        <v>7</v>
      </c>
      <c r="J10" s="16">
        <f t="shared" si="0"/>
        <v>97471.188216499722</v>
      </c>
      <c r="K10" s="16">
        <f t="shared" si="1"/>
        <v>90700.738420743306</v>
      </c>
      <c r="L10" s="16"/>
      <c r="M10" s="16">
        <f t="shared" si="2"/>
        <v>-16741.607462565349</v>
      </c>
      <c r="Q10" s="16"/>
      <c r="R10" s="16"/>
    </row>
    <row r="11" spans="1:18" x14ac:dyDescent="0.25">
      <c r="A11">
        <v>8</v>
      </c>
      <c r="B11" s="16">
        <f>'D Vall'!$C$49*(1/(1+'D Vall'!$C$10)^A11)*(('D Vall'!$C$12+1)^NuvVall!A11)</f>
        <v>95258.074281149282</v>
      </c>
      <c r="C11" s="16">
        <f>IF('D Vall'!$C$8+1&gt;A11,B11,0)</f>
        <v>95258.074281149282</v>
      </c>
      <c r="D11" s="16">
        <f>'D Vall'!$C$50*(1/(1+'D Vall'!$C$10)^A11)*(('D Vall'!$C$12+1)^NuvVall!A11)</f>
        <v>88641.349673992168</v>
      </c>
      <c r="E11" s="16">
        <f>IF('D Vall'!$C$8+1&gt;A11,D11,0)</f>
        <v>88641.349673992168</v>
      </c>
      <c r="F11" s="16">
        <f>'D Vall'!$C$46/(POWER(1+'D Vall'!$C$10,A11))</f>
        <v>16175.466147406138</v>
      </c>
      <c r="G11" s="16">
        <f>IF('D Vall'!$C$8+1&gt;A11,F11,0)</f>
        <v>16175.466147406138</v>
      </c>
      <c r="H11" s="16"/>
      <c r="I11">
        <v>8</v>
      </c>
      <c r="J11" s="16">
        <f t="shared" si="0"/>
        <v>95258.074281149282</v>
      </c>
      <c r="K11" s="16">
        <f t="shared" si="1"/>
        <v>88641.349673992168</v>
      </c>
      <c r="L11" s="16"/>
      <c r="M11" s="16">
        <f t="shared" si="2"/>
        <v>-16175.466147406138</v>
      </c>
      <c r="Q11" s="16"/>
      <c r="R11" s="16"/>
    </row>
    <row r="12" spans="1:18" x14ac:dyDescent="0.25">
      <c r="A12">
        <v>9</v>
      </c>
      <c r="B12" s="16">
        <f>'D Vall'!$C$49*(1/(1+'D Vall'!$C$10)^A12)*(('D Vall'!$C$12+1)^NuvVall!A12)</f>
        <v>93095.209792640133</v>
      </c>
      <c r="C12" s="16">
        <f>IF('D Vall'!$C$8+1&gt;A12,B12,0)</f>
        <v>93095.209792640133</v>
      </c>
      <c r="D12" s="16">
        <f>'D Vall'!$C$50*(1/(1+'D Vall'!$C$10)^A12)*(('D Vall'!$C$12+1)^NuvVall!A12)</f>
        <v>86628.719995403953</v>
      </c>
      <c r="E12" s="16">
        <f>IF('D Vall'!$C$8+1&gt;A12,D12,0)</f>
        <v>86628.719995403953</v>
      </c>
      <c r="F12" s="16">
        <f>'D Vall'!$C$46/(POWER(1+'D Vall'!$C$10,A12))</f>
        <v>15628.469707638782</v>
      </c>
      <c r="G12" s="16">
        <f>IF('D Vall'!$C$8+1&gt;A12,F12,0)</f>
        <v>15628.469707638782</v>
      </c>
      <c r="H12" s="16"/>
      <c r="I12">
        <v>9</v>
      </c>
      <c r="J12" s="16">
        <f t="shared" si="0"/>
        <v>93095.209792640133</v>
      </c>
      <c r="K12" s="16">
        <f t="shared" si="1"/>
        <v>86628.719995403953</v>
      </c>
      <c r="L12" s="16"/>
      <c r="M12" s="16">
        <f t="shared" si="2"/>
        <v>-15628.469707638782</v>
      </c>
      <c r="Q12" s="16"/>
      <c r="R12" s="16"/>
    </row>
    <row r="13" spans="1:18" x14ac:dyDescent="0.25">
      <c r="A13">
        <v>10</v>
      </c>
      <c r="B13" s="16">
        <f>'D Vall'!$C$49*(1/(1+'D Vall'!$C$10)^A13)*(('D Vall'!$C$12+1)^NuvVall!A13)</f>
        <v>90981.453821502902</v>
      </c>
      <c r="C13" s="16">
        <f>IF('D Vall'!$C$8+1&gt;A13,B13,0)</f>
        <v>90981.453821502902</v>
      </c>
      <c r="D13" s="16">
        <f>'D Vall'!$C$50*(1/(1+'D Vall'!$C$10)^A13)*(('D Vall'!$C$12+1)^NuvVall!A13)</f>
        <v>84661.787705653245</v>
      </c>
      <c r="E13" s="16">
        <f>IF('D Vall'!$C$8+1&gt;A13,D13,0)</f>
        <v>84661.787705653245</v>
      </c>
      <c r="F13" s="16">
        <f>'D Vall'!$C$46/(POWER(1+'D Vall'!$C$10,A13))</f>
        <v>15099.970732018148</v>
      </c>
      <c r="G13" s="16">
        <f>IF('D Vall'!$C$8+1&gt;A13,F13,0)</f>
        <v>15099.970732018148</v>
      </c>
      <c r="H13" s="16"/>
      <c r="I13">
        <v>10</v>
      </c>
      <c r="J13" s="16">
        <f t="shared" si="0"/>
        <v>90981.453821502902</v>
      </c>
      <c r="K13" s="16">
        <f t="shared" si="1"/>
        <v>84661.787705653245</v>
      </c>
      <c r="L13" s="16"/>
      <c r="M13" s="16">
        <f t="shared" si="2"/>
        <v>-15099.970732018148</v>
      </c>
      <c r="Q13" s="16"/>
      <c r="R13" s="16"/>
    </row>
    <row r="14" spans="1:18" x14ac:dyDescent="0.25">
      <c r="A14">
        <v>11</v>
      </c>
      <c r="B14" s="16">
        <f>'D Vall'!$C$49*(1/(1+'D Vall'!$C$10)^A14)*(('D Vall'!$C$12+1)^NuvVall!A14)</f>
        <v>88915.691343430139</v>
      </c>
      <c r="C14" s="16">
        <f>IF('D Vall'!$C$8+1&gt;A14,B14,0)</f>
        <v>88915.691343430139</v>
      </c>
      <c r="D14" s="16">
        <f>'D Vall'!$C$50*(1/(1+'D Vall'!$C$10)^A14)*(('D Vall'!$C$12+1)^NuvVall!A14)</f>
        <v>82739.515231177065</v>
      </c>
      <c r="E14" s="16">
        <f>IF('D Vall'!$C$8+1&gt;A14,D14,0)</f>
        <v>82739.515231177065</v>
      </c>
      <c r="F14" s="16">
        <f>'D Vall'!$C$46/(POWER(1+'D Vall'!$C$10,A14))</f>
        <v>14589.343702432992</v>
      </c>
      <c r="G14" s="16">
        <f>IF('D Vall'!$C$8+1&gt;A14,F14,0)</f>
        <v>14589.343702432992</v>
      </c>
      <c r="H14" s="16"/>
      <c r="I14">
        <v>11</v>
      </c>
      <c r="J14" s="16">
        <f t="shared" si="0"/>
        <v>88915.691343430139</v>
      </c>
      <c r="K14" s="16">
        <f t="shared" si="1"/>
        <v>82739.515231177065</v>
      </c>
      <c r="L14" s="16"/>
      <c r="M14" s="16">
        <f t="shared" si="2"/>
        <v>-14589.343702432992</v>
      </c>
      <c r="Q14" s="16"/>
      <c r="R14" s="16"/>
    </row>
    <row r="15" spans="1:18" x14ac:dyDescent="0.25">
      <c r="A15">
        <v>12</v>
      </c>
      <c r="B15" s="16">
        <f>'D Vall'!$C$49*(1/(1+'D Vall'!$C$10)^A15)*(('D Vall'!$C$12+1)^NuvVall!A15)</f>
        <v>86896.83265109139</v>
      </c>
      <c r="C15" s="16">
        <f>IF('D Vall'!$C$8+1&gt;A15,B15,0)</f>
        <v>86896.83265109139</v>
      </c>
      <c r="D15" s="16">
        <f>'D Vall'!$C$50*(1/(1+'D Vall'!$C$10)^A15)*(('D Vall'!$C$12+1)^NuvVall!A15)</f>
        <v>80860.88855684601</v>
      </c>
      <c r="E15" s="16">
        <f>IF('D Vall'!$C$8+1&gt;A15,D15,0)</f>
        <v>80860.88855684601</v>
      </c>
      <c r="F15" s="16">
        <f>'D Vall'!$C$46/(POWER(1+'D Vall'!$C$10,A15))</f>
        <v>14095.984253558447</v>
      </c>
      <c r="G15" s="16">
        <f>IF('D Vall'!$C$8+1&gt;A15,F15,0)</f>
        <v>14095.984253558447</v>
      </c>
      <c r="H15" s="16"/>
      <c r="I15">
        <v>12</v>
      </c>
      <c r="J15" s="16">
        <f t="shared" si="0"/>
        <v>86896.83265109139</v>
      </c>
      <c r="K15" s="16">
        <f t="shared" si="1"/>
        <v>80860.88855684601</v>
      </c>
      <c r="L15" s="16"/>
      <c r="M15" s="16">
        <f t="shared" si="2"/>
        <v>-14095.984253558447</v>
      </c>
      <c r="Q15" s="16"/>
      <c r="R15" s="16"/>
    </row>
    <row r="16" spans="1:18" x14ac:dyDescent="0.25">
      <c r="A16">
        <v>13</v>
      </c>
      <c r="B16" s="16">
        <f>'D Vall'!$C$49*(1/(1+'D Vall'!$C$10)^A16)*(('D Vall'!$C$12+1)^NuvVall!A16)</f>
        <v>84923.812779303335</v>
      </c>
      <c r="C16" s="16">
        <f>IF('D Vall'!$C$8+1&gt;A16,B16,0)</f>
        <v>84923.812779303335</v>
      </c>
      <c r="D16" s="16">
        <f>'D Vall'!$C$50*(1/(1+'D Vall'!$C$10)^A16)*(('D Vall'!$C$12+1)^NuvVall!A16)</f>
        <v>79024.916691062564</v>
      </c>
      <c r="E16" s="16">
        <f>IF('D Vall'!$C$8+1&gt;A16,D16,0)</f>
        <v>79024.916691062564</v>
      </c>
      <c r="F16" s="16">
        <f>'D Vall'!$C$46/(POWER(1+'D Vall'!$C$10,A16))</f>
        <v>13619.308457544397</v>
      </c>
      <c r="G16" s="16">
        <f>IF('D Vall'!$C$8+1&gt;A16,F16,0)</f>
        <v>13619.308457544397</v>
      </c>
      <c r="H16" s="16"/>
      <c r="I16">
        <v>13</v>
      </c>
      <c r="J16" s="16">
        <f t="shared" si="0"/>
        <v>84923.812779303335</v>
      </c>
      <c r="K16" s="16">
        <f t="shared" si="1"/>
        <v>79024.916691062564</v>
      </c>
      <c r="L16" s="16"/>
      <c r="M16" s="16">
        <f t="shared" si="2"/>
        <v>-13619.308457544397</v>
      </c>
      <c r="Q16" s="16"/>
      <c r="R16" s="16"/>
    </row>
    <row r="17" spans="1:18" x14ac:dyDescent="0.25">
      <c r="A17">
        <v>14</v>
      </c>
      <c r="B17" s="16">
        <f>'D Vall'!$C$49*(1/(1+'D Vall'!$C$10)^A17)*(('D Vall'!$C$12+1)^NuvVall!A17)</f>
        <v>82995.590943251533</v>
      </c>
      <c r="C17" s="16">
        <f>IF('D Vall'!$C$8+1&gt;A17,B17,0)</f>
        <v>82995.590943251533</v>
      </c>
      <c r="D17" s="16">
        <f>'D Vall'!$C$50*(1/(1+'D Vall'!$C$10)^A17)*(('D Vall'!$C$12+1)^NuvVall!A17)</f>
        <v>77230.631143004619</v>
      </c>
      <c r="E17" s="16">
        <f>IF('D Vall'!$C$8+1&gt;A17,D17,0)</f>
        <v>77230.631143004619</v>
      </c>
      <c r="F17" s="16">
        <f>'D Vall'!$C$46/(POWER(1+'D Vall'!$C$10,A17))</f>
        <v>13158.752132893136</v>
      </c>
      <c r="G17" s="16">
        <f>IF('D Vall'!$C$8+1&gt;A17,F17,0)</f>
        <v>13158.752132893136</v>
      </c>
      <c r="H17" s="16"/>
      <c r="I17">
        <v>14</v>
      </c>
      <c r="J17" s="16">
        <f t="shared" si="0"/>
        <v>82995.590943251533</v>
      </c>
      <c r="K17" s="16">
        <f t="shared" si="1"/>
        <v>77230.631143004619</v>
      </c>
      <c r="L17" s="16"/>
      <c r="M17" s="16">
        <f t="shared" si="2"/>
        <v>-13158.752132893136</v>
      </c>
      <c r="Q17" s="16"/>
      <c r="R17" s="16"/>
    </row>
    <row r="18" spans="1:18" x14ac:dyDescent="0.25">
      <c r="A18">
        <v>15</v>
      </c>
      <c r="B18" s="16">
        <f>'D Vall'!$C$49*(1/(1+'D Vall'!$C$10)^A18)*(('D Vall'!$C$12+1)^NuvVall!A18)</f>
        <v>81111.149989467594</v>
      </c>
      <c r="C18" s="16">
        <f>IF('D Vall'!$C$8+1&gt;A18,B18,0)</f>
        <v>81111.149989467594</v>
      </c>
      <c r="D18" s="16">
        <f>'D Vall'!$C$50*(1/(1+'D Vall'!$C$10)^A18)*(('D Vall'!$C$12+1)^NuvVall!A18)</f>
        <v>75477.085411738357</v>
      </c>
      <c r="E18" s="16">
        <f>IF('D Vall'!$C$8+1&gt;A18,D18,0)</f>
        <v>75477.085411738357</v>
      </c>
      <c r="F18" s="16">
        <f>'D Vall'!$C$46/(POWER(1+'D Vall'!$C$10,A18))</f>
        <v>12713.770176708345</v>
      </c>
      <c r="G18" s="16">
        <f>IF('D Vall'!$C$8+1&gt;A18,F18,0)</f>
        <v>12713.770176708345</v>
      </c>
      <c r="H18" s="16"/>
      <c r="I18">
        <v>15</v>
      </c>
      <c r="J18" s="16">
        <f t="shared" si="0"/>
        <v>81111.149989467594</v>
      </c>
      <c r="K18" s="16">
        <f t="shared" si="1"/>
        <v>75477.085411738357</v>
      </c>
      <c r="L18" s="16"/>
      <c r="M18" s="16">
        <f t="shared" si="2"/>
        <v>-12713.770176708345</v>
      </c>
      <c r="Q18" s="16"/>
      <c r="R18" s="16"/>
    </row>
    <row r="19" spans="1:18" x14ac:dyDescent="0.25">
      <c r="A19">
        <v>16</v>
      </c>
      <c r="B19" s="16">
        <f>'D Vall'!$C$49*(1/(1+'D Vall'!$C$10)^A19)*(('D Vall'!$C$12+1)^NuvVall!A19)</f>
        <v>79269.495859271963</v>
      </c>
      <c r="C19" s="16">
        <f>IF('D Vall'!$C$8+1&gt;A19,B19,0)</f>
        <v>79269.495859271963</v>
      </c>
      <c r="D19" s="16">
        <f>'D Vall'!$C$50*(1/(1+'D Vall'!$C$10)^A19)*(('D Vall'!$C$12+1)^NuvVall!A19)</f>
        <v>73763.354486930781</v>
      </c>
      <c r="E19" s="16">
        <f>IF('D Vall'!$C$8+1&gt;A19,D19,0)</f>
        <v>73763.354486930781</v>
      </c>
      <c r="F19" s="16">
        <f>'D Vall'!$C$46/(POWER(1+'D Vall'!$C$10,A19))</f>
        <v>12283.835919524974</v>
      </c>
      <c r="G19" s="16">
        <f>IF('D Vall'!$C$8+1&gt;A19,F19,0)</f>
        <v>12283.835919524974</v>
      </c>
      <c r="H19" s="16"/>
      <c r="I19">
        <v>16</v>
      </c>
      <c r="J19" s="16">
        <f t="shared" si="0"/>
        <v>79269.495859271963</v>
      </c>
      <c r="K19" s="16">
        <f t="shared" si="1"/>
        <v>73763.354486930781</v>
      </c>
      <c r="L19" s="16"/>
      <c r="M19" s="16">
        <f t="shared" si="2"/>
        <v>-12283.835919524974</v>
      </c>
      <c r="Q19" s="16"/>
      <c r="R19" s="16"/>
    </row>
    <row r="20" spans="1:18" x14ac:dyDescent="0.25">
      <c r="A20">
        <v>17</v>
      </c>
      <c r="B20" s="16">
        <f>'D Vall'!$C$49*(1/(1+'D Vall'!$C$10)^A20)*(('D Vall'!$C$12+1)^NuvVall!A20)</f>
        <v>77469.657064399624</v>
      </c>
      <c r="C20" s="16">
        <f>IF('D Vall'!$C$8+1&gt;A20,B20,0)</f>
        <v>77469.657064399624</v>
      </c>
      <c r="D20" s="16">
        <f>'D Vall'!$C$50*(1/(1+'D Vall'!$C$10)^A20)*(('D Vall'!$C$12+1)^NuvVall!A20)</f>
        <v>72088.534360899037</v>
      </c>
      <c r="E20" s="16">
        <f>IF('D Vall'!$C$8+1&gt;A20,D20,0)</f>
        <v>72088.534360899037</v>
      </c>
      <c r="F20" s="16">
        <f>'D Vall'!$C$46/(POWER(1+'D Vall'!$C$10,A20))</f>
        <v>11868.440501956497</v>
      </c>
      <c r="G20" s="16">
        <f>IF('D Vall'!$C$8+1&gt;A20,F20,0)</f>
        <v>11868.440501956497</v>
      </c>
      <c r="H20" s="16"/>
      <c r="I20">
        <v>17</v>
      </c>
      <c r="J20" s="16">
        <f t="shared" si="0"/>
        <v>77469.657064399624</v>
      </c>
      <c r="K20" s="16">
        <f t="shared" si="1"/>
        <v>72088.534360899037</v>
      </c>
      <c r="L20" s="16"/>
      <c r="M20" s="16">
        <f t="shared" si="2"/>
        <v>-11868.440501956497</v>
      </c>
      <c r="Q20" s="16"/>
      <c r="R20" s="16"/>
    </row>
    <row r="21" spans="1:18" x14ac:dyDescent="0.25">
      <c r="A21">
        <v>18</v>
      </c>
      <c r="B21" s="16">
        <f>'D Vall'!$C$49*(1/(1+'D Vall'!$C$10)^A21)*(('D Vall'!$C$12+1)^NuvVall!A21)</f>
        <v>75710.68417453162</v>
      </c>
      <c r="C21" s="16">
        <f>IF('D Vall'!$C$8+1&gt;A21,B21,0)</f>
        <v>75710.68417453162</v>
      </c>
      <c r="D21" s="16">
        <f>'D Vall'!$C$50*(1/(1+'D Vall'!$C$10)^A21)*(('D Vall'!$C$12+1)^NuvVall!A21)</f>
        <v>70451.741551738538</v>
      </c>
      <c r="E21" s="16">
        <f>IF('D Vall'!$C$8+1&gt;A21,D21,0)</f>
        <v>70451.741551738538</v>
      </c>
      <c r="F21" s="16">
        <f>'D Vall'!$C$46/(POWER(1+'D Vall'!$C$10,A21))</f>
        <v>11467.092272421736</v>
      </c>
      <c r="G21" s="16">
        <f>IF('D Vall'!$C$8+1&gt;A21,F21,0)</f>
        <v>11467.092272421736</v>
      </c>
      <c r="H21" s="16"/>
      <c r="I21">
        <v>18</v>
      </c>
      <c r="J21" s="16">
        <f t="shared" si="0"/>
        <v>75710.68417453162</v>
      </c>
      <c r="K21" s="16">
        <f t="shared" si="1"/>
        <v>70451.741551738538</v>
      </c>
      <c r="L21" s="16"/>
      <c r="M21" s="16">
        <f t="shared" si="2"/>
        <v>-11467.092272421736</v>
      </c>
      <c r="Q21" s="16"/>
      <c r="R21" s="16"/>
    </row>
    <row r="22" spans="1:18" x14ac:dyDescent="0.25">
      <c r="A22">
        <v>19</v>
      </c>
      <c r="B22" s="16">
        <f>'D Vall'!$C$49*(1/(1+'D Vall'!$C$10)^A22)*(('D Vall'!$C$12+1)^NuvVall!A22)</f>
        <v>73991.649316462557</v>
      </c>
      <c r="C22" s="16">
        <f>IF('D Vall'!$C$8+1&gt;A22,B22,0)</f>
        <v>73991.649316462557</v>
      </c>
      <c r="D22" s="16">
        <f>'D Vall'!$C$50*(1/(1+'D Vall'!$C$10)^A22)*(('D Vall'!$C$12+1)^NuvVall!A22)</f>
        <v>68852.112637278799</v>
      </c>
      <c r="E22" s="16">
        <f>IF('D Vall'!$C$8+1&gt;A22,D22,0)</f>
        <v>68852.112637278799</v>
      </c>
      <c r="F22" s="16">
        <f>'D Vall'!$C$46/(POWER(1+'D Vall'!$C$10,A22))</f>
        <v>11079.316205238394</v>
      </c>
      <c r="G22" s="16">
        <f>IF('D Vall'!$C$8+1&gt;A22,F22,0)</f>
        <v>11079.316205238394</v>
      </c>
      <c r="H22" s="16"/>
      <c r="I22">
        <v>19</v>
      </c>
      <c r="J22" s="16">
        <f t="shared" si="0"/>
        <v>73991.649316462557</v>
      </c>
      <c r="K22" s="16">
        <f t="shared" si="1"/>
        <v>68852.112637278799</v>
      </c>
      <c r="L22" s="16"/>
      <c r="M22" s="16">
        <f t="shared" si="2"/>
        <v>-11079.316205238394</v>
      </c>
      <c r="Q22" s="16"/>
      <c r="R22" s="16"/>
    </row>
    <row r="23" spans="1:18" x14ac:dyDescent="0.25">
      <c r="A23">
        <v>20</v>
      </c>
      <c r="B23" s="16">
        <f>'D Vall'!$C$49*(1/(1+'D Vall'!$C$10)^A23)*(('D Vall'!$C$12+1)^NuvVall!A23)</f>
        <v>72311.645684639501</v>
      </c>
      <c r="C23" s="16">
        <f>IF('D Vall'!$C$8+1&gt;A23,B23,0)</f>
        <v>72311.645684639501</v>
      </c>
      <c r="D23" s="16">
        <f>'D Vall'!$C$50*(1/(1+'D Vall'!$C$10)^A23)*(('D Vall'!$C$12+1)^NuvVall!A23)</f>
        <v>67288.803799620771</v>
      </c>
      <c r="E23" s="16">
        <f>IF('D Vall'!$C$8+1&gt;A23,D23,0)</f>
        <v>67288.803799620771</v>
      </c>
      <c r="F23" s="16">
        <f>'D Vall'!$C$46/(POWER(1+'D Vall'!$C$10,A23))</f>
        <v>10704.653338394584</v>
      </c>
      <c r="G23" s="16">
        <f>IF('D Vall'!$C$8+1&gt;A23,F23,0)</f>
        <v>10704.653338394584</v>
      </c>
      <c r="H23" s="16"/>
      <c r="I23">
        <v>20</v>
      </c>
      <c r="J23" s="16">
        <f t="shared" si="0"/>
        <v>72311.645684639501</v>
      </c>
      <c r="K23" s="16">
        <f t="shared" si="1"/>
        <v>67288.803799620771</v>
      </c>
      <c r="L23" s="16"/>
      <c r="M23" s="16">
        <f t="shared" si="2"/>
        <v>-10704.653338394584</v>
      </c>
      <c r="Q23" s="16"/>
      <c r="R23" s="16"/>
    </row>
    <row r="24" spans="1:18" x14ac:dyDescent="0.25">
      <c r="A24">
        <v>21</v>
      </c>
      <c r="B24" s="16">
        <f>'D Vall'!$C$49*(1/(1+'D Vall'!$C$10)^A24)*(('D Vall'!$C$12+1)^NuvVall!A24)</f>
        <v>70669.787062814386</v>
      </c>
      <c r="C24" s="16">
        <f>IF('D Vall'!$C$8+1&gt;A24,B24,0)</f>
        <v>70669.787062814386</v>
      </c>
      <c r="D24" s="16">
        <f>'D Vall'!$C$50*(1/(1+'D Vall'!$C$10)^A24)*(('D Vall'!$C$12+1)^NuvVall!A24)</f>
        <v>65760.990380015894</v>
      </c>
      <c r="E24" s="16">
        <f>IF('D Vall'!$C$8+1&gt;A24,D24,0)</f>
        <v>65760.990380015894</v>
      </c>
      <c r="F24" s="16">
        <f>'D Vall'!$C$46/(POWER(1+'D Vall'!$C$10,A24))</f>
        <v>10342.660230332935</v>
      </c>
      <c r="G24" s="16">
        <f>IF('D Vall'!$C$8+1&gt;A24,F24,0)</f>
        <v>10342.660230332935</v>
      </c>
      <c r="H24" s="16"/>
      <c r="I24">
        <v>21</v>
      </c>
      <c r="J24" s="16">
        <f t="shared" si="0"/>
        <v>70669.787062814386</v>
      </c>
      <c r="K24" s="16">
        <f t="shared" si="1"/>
        <v>65760.990380015894</v>
      </c>
      <c r="L24" s="16"/>
      <c r="M24" s="16">
        <f t="shared" si="2"/>
        <v>-10342.660230332935</v>
      </c>
      <c r="Q24" s="16"/>
      <c r="R24" s="16"/>
    </row>
    <row r="25" spans="1:18" x14ac:dyDescent="0.25">
      <c r="A25">
        <v>22</v>
      </c>
      <c r="B25" s="16">
        <f>'D Vall'!$C$49*(1/(1+'D Vall'!$C$10)^A25)*(('D Vall'!$C$12+1)^NuvVall!A25)</f>
        <v>69065.207356557235</v>
      </c>
      <c r="C25" s="16">
        <f>IF('D Vall'!$C$8+1&gt;A25,B25,0)</f>
        <v>69065.207356557235</v>
      </c>
      <c r="D25" s="16">
        <f>'D Vall'!$C$50*(1/(1+'D Vall'!$C$10)^A25)*(('D Vall'!$C$12+1)^NuvVall!A25)</f>
        <v>64267.866443851271</v>
      </c>
      <c r="E25" s="16">
        <f>IF('D Vall'!$C$8+1&gt;A25,D25,0)</f>
        <v>64267.866443851271</v>
      </c>
      <c r="F25" s="16">
        <f>'D Vall'!$C$46/(POWER(1+'D Vall'!$C$10,A25))</f>
        <v>9992.9084351042839</v>
      </c>
      <c r="G25" s="16">
        <f>IF('D Vall'!$C$8+1&gt;A25,F25,0)</f>
        <v>9992.9084351042839</v>
      </c>
      <c r="H25" s="16"/>
      <c r="I25">
        <v>22</v>
      </c>
      <c r="J25" s="16">
        <f t="shared" si="0"/>
        <v>69065.207356557235</v>
      </c>
      <c r="K25" s="16">
        <f t="shared" si="1"/>
        <v>64267.866443851271</v>
      </c>
      <c r="L25" s="16"/>
      <c r="M25" s="16">
        <f t="shared" si="2"/>
        <v>-9992.9084351042839</v>
      </c>
      <c r="Q25" s="16"/>
      <c r="R25" s="16"/>
    </row>
    <row r="26" spans="1:18" x14ac:dyDescent="0.25">
      <c r="A26">
        <v>23</v>
      </c>
      <c r="B26" s="16">
        <f>'D Vall'!$C$49*(1/(1+'D Vall'!$C$10)^A26)*(('D Vall'!$C$12+1)^NuvVall!A26)</f>
        <v>67497.060136384214</v>
      </c>
      <c r="C26" s="16">
        <f>IF('D Vall'!$C$8+1&gt;A26,B26,0)</f>
        <v>67497.060136384214</v>
      </c>
      <c r="D26" s="16">
        <f>'D Vall'!$C$50*(1/(1+'D Vall'!$C$10)^A26)*(('D Vall'!$C$12+1)^NuvVall!A26)</f>
        <v>62808.644355512624</v>
      </c>
      <c r="E26" s="16">
        <f>IF('D Vall'!$C$8+1&gt;A26,D26,0)</f>
        <v>62808.644355512624</v>
      </c>
      <c r="F26" s="16">
        <f>'D Vall'!$C$46/(POWER(1+'D Vall'!$C$10,A26))</f>
        <v>9654.9839952698403</v>
      </c>
      <c r="G26" s="16">
        <f>IF('D Vall'!$C$8+1&gt;A26,F26,0)</f>
        <v>9654.9839952698403</v>
      </c>
      <c r="H26" s="16"/>
      <c r="I26">
        <v>23</v>
      </c>
      <c r="J26" s="16">
        <f t="shared" si="0"/>
        <v>67497.060136384214</v>
      </c>
      <c r="K26" s="16">
        <f t="shared" si="1"/>
        <v>62808.644355512624</v>
      </c>
      <c r="L26" s="16"/>
      <c r="M26" s="16">
        <f t="shared" si="2"/>
        <v>-9654.9839952698403</v>
      </c>
      <c r="Q26" s="16"/>
      <c r="R26" s="16"/>
    </row>
    <row r="27" spans="1:18" x14ac:dyDescent="0.25">
      <c r="A27">
        <v>24</v>
      </c>
      <c r="B27" s="16">
        <f>'D Vall'!$C$49*(1/(1+'D Vall'!$C$10)^A27)*(('D Vall'!$C$12+1)^NuvVall!A27)</f>
        <v>65964.518191258612</v>
      </c>
      <c r="C27" s="16">
        <f>IF('D Vall'!$C$8+1&gt;A27,B27,0)</f>
        <v>65964.518191258612</v>
      </c>
      <c r="D27" s="16">
        <f>'D Vall'!$C$50*(1/(1+'D Vall'!$C$10)^A27)*(('D Vall'!$C$12+1)^NuvVall!A27)</f>
        <v>61382.554362899566</v>
      </c>
      <c r="E27" s="16">
        <f>IF('D Vall'!$C$8+1&gt;A27,D27,0)</f>
        <v>61382.554362899566</v>
      </c>
      <c r="F27" s="16">
        <f>'D Vall'!$C$46/(POWER(1+'D Vall'!$C$10,A27))</f>
        <v>9328.4869519515378</v>
      </c>
      <c r="G27" s="16">
        <f>IF('D Vall'!$C$8+1&gt;A27,F27,0)</f>
        <v>9328.4869519515378</v>
      </c>
      <c r="H27" s="16"/>
      <c r="I27">
        <v>24</v>
      </c>
      <c r="J27" s="16">
        <f t="shared" si="0"/>
        <v>65964.518191258612</v>
      </c>
      <c r="K27" s="16">
        <f t="shared" si="1"/>
        <v>61382.554362899566</v>
      </c>
      <c r="L27" s="16"/>
      <c r="M27" s="16">
        <f t="shared" si="2"/>
        <v>-9328.4869519515378</v>
      </c>
      <c r="Q27" s="16"/>
      <c r="R27" s="16"/>
    </row>
    <row r="28" spans="1:18" x14ac:dyDescent="0.25">
      <c r="A28">
        <v>25</v>
      </c>
      <c r="B28" s="16">
        <f>'D Vall'!$C$49*(1/(1+'D Vall'!$C$10)^A28)*(('D Vall'!$C$12+1)^NuvVall!A28)</f>
        <v>64466.77309223004</v>
      </c>
      <c r="C28" s="16">
        <f>IF('D Vall'!$C$8+1&gt;A28,B28,0)</f>
        <v>64466.77309223004</v>
      </c>
      <c r="D28" s="16">
        <f>'D Vall'!$C$50*(1/(1+'D Vall'!$C$10)^A28)*(('D Vall'!$C$12+1)^NuvVall!A28)</f>
        <v>59988.844191374796</v>
      </c>
      <c r="E28" s="16">
        <f>IF('D Vall'!$C$8+1&gt;A28,D28,0)</f>
        <v>59988.844191374796</v>
      </c>
      <c r="F28" s="16">
        <f>'D Vall'!$C$46/(POWER(1+'D Vall'!$C$10,A28))</f>
        <v>9013.0308714507628</v>
      </c>
      <c r="G28" s="16">
        <f>IF('D Vall'!$C$8+1&gt;A28,F28,0)</f>
        <v>9013.0308714507628</v>
      </c>
      <c r="H28" s="16"/>
      <c r="I28">
        <v>25</v>
      </c>
      <c r="J28" s="16">
        <f t="shared" si="0"/>
        <v>64466.77309223004</v>
      </c>
      <c r="K28" s="16">
        <f t="shared" si="1"/>
        <v>59988.844191374796</v>
      </c>
      <c r="L28" s="16"/>
      <c r="M28" s="16">
        <f t="shared" si="2"/>
        <v>-9013.0308714507628</v>
      </c>
      <c r="Q28" s="16"/>
      <c r="R28" s="16"/>
    </row>
    <row r="29" spans="1:18" x14ac:dyDescent="0.25">
      <c r="A29">
        <v>26</v>
      </c>
      <c r="B29" s="16">
        <f>'D Vall'!$C$49*(1/(1+'D Vall'!$C$10)^A29)*(('D Vall'!$C$12+1)^NuvVall!A29)</f>
        <v>63003.034765981349</v>
      </c>
      <c r="C29" s="16">
        <f>IF('D Vall'!$C$8+1&gt;A29,B29,0)</f>
        <v>63003.034765981349</v>
      </c>
      <c r="D29" s="16">
        <f>'D Vall'!$C$50*(1/(1+'D Vall'!$C$10)^A29)*(('D Vall'!$C$12+1)^NuvVall!A29)</f>
        <v>58626.778646932966</v>
      </c>
      <c r="E29" s="16">
        <f>IF('D Vall'!$C$8+1&gt;A29,D29,0)</f>
        <v>58626.778646932966</v>
      </c>
      <c r="F29" s="16">
        <f>'D Vall'!$C$46/(POWER(1+'D Vall'!$C$10,A29))</f>
        <v>8708.2423878751324</v>
      </c>
      <c r="G29" s="16">
        <f>IF('D Vall'!$C$8+1&gt;A29,F29,0)</f>
        <v>8708.2423878751324</v>
      </c>
      <c r="H29" s="16"/>
      <c r="I29">
        <v>26</v>
      </c>
      <c r="J29" s="16">
        <f t="shared" si="0"/>
        <v>63003.034765981349</v>
      </c>
      <c r="K29" s="16">
        <f t="shared" si="1"/>
        <v>58626.778646932966</v>
      </c>
      <c r="L29" s="16"/>
      <c r="M29" s="16">
        <f t="shared" si="2"/>
        <v>-8708.2423878751324</v>
      </c>
      <c r="Q29" s="16"/>
      <c r="R29" s="16"/>
    </row>
    <row r="30" spans="1:18" x14ac:dyDescent="0.25">
      <c r="A30">
        <v>27</v>
      </c>
      <c r="B30" s="16">
        <f>'D Vall'!$C$49*(1/(1+'D Vall'!$C$10)^A30)*(('D Vall'!$C$12+1)^NuvVall!A30)</f>
        <v>61572.531078058099</v>
      </c>
      <c r="C30" s="16">
        <f>IF('D Vall'!$C$8+1&gt;A30,B30,0)</f>
        <v>61572.531078058099</v>
      </c>
      <c r="D30" s="16">
        <f>'D Vall'!$C$50*(1/(1+'D Vall'!$C$10)^A30)*(('D Vall'!$C$12+1)^NuvVall!A30)</f>
        <v>57295.639228379412</v>
      </c>
      <c r="E30" s="16">
        <f>IF('D Vall'!$C$8+1&gt;A30,D30,0)</f>
        <v>57295.639228379412</v>
      </c>
      <c r="F30" s="16">
        <f>'D Vall'!$C$46/(POWER(1+'D Vall'!$C$10,A30))</f>
        <v>8413.7607612320116</v>
      </c>
      <c r="G30" s="16">
        <f>IF('D Vall'!$C$8+1&gt;A30,F30,0)</f>
        <v>8413.7607612320116</v>
      </c>
      <c r="H30" s="16"/>
      <c r="I30">
        <v>27</v>
      </c>
      <c r="J30" s="16">
        <f t="shared" si="0"/>
        <v>61572.531078058099</v>
      </c>
      <c r="K30" s="16">
        <f t="shared" si="1"/>
        <v>57295.639228379412</v>
      </c>
      <c r="L30" s="16"/>
      <c r="M30" s="16">
        <f t="shared" si="2"/>
        <v>-8413.7607612320116</v>
      </c>
      <c r="Q30" s="16"/>
      <c r="R30" s="16"/>
    </row>
    <row r="31" spans="1:18" x14ac:dyDescent="0.25">
      <c r="A31">
        <v>28</v>
      </c>
      <c r="B31" s="16">
        <f>'D Vall'!$C$49*(1/(1+'D Vall'!$C$10)^A31)*(('D Vall'!$C$12+1)^NuvVall!A31)</f>
        <v>60174.507425561125</v>
      </c>
      <c r="C31" s="16">
        <f>IF('D Vall'!$C$8+1&gt;A31,B31,0)</f>
        <v>60174.507425561125</v>
      </c>
      <c r="D31" s="16">
        <f>'D Vall'!$C$50*(1/(1+'D Vall'!$C$10)^A31)*(('D Vall'!$C$12+1)^NuvVall!A31)</f>
        <v>55994.723748314762</v>
      </c>
      <c r="E31" s="16">
        <f>IF('D Vall'!$C$8+1&gt;A31,D31,0)</f>
        <v>55994.723748314762</v>
      </c>
      <c r="F31" s="16">
        <f>'D Vall'!$C$46/(POWER(1+'D Vall'!$C$10,A31))</f>
        <v>8129.2374504657118</v>
      </c>
      <c r="G31" s="16">
        <f>IF('D Vall'!$C$8+1&gt;A31,F31,0)</f>
        <v>8129.2374504657118</v>
      </c>
      <c r="H31" s="16"/>
      <c r="I31">
        <v>28</v>
      </c>
      <c r="J31" s="16">
        <f t="shared" si="0"/>
        <v>60174.507425561125</v>
      </c>
      <c r="K31" s="16">
        <f t="shared" si="1"/>
        <v>55994.723748314762</v>
      </c>
      <c r="L31" s="16"/>
      <c r="M31" s="16">
        <f t="shared" si="2"/>
        <v>-8129.2374504657118</v>
      </c>
      <c r="Q31" s="16"/>
      <c r="R31" s="16"/>
    </row>
    <row r="32" spans="1:18" x14ac:dyDescent="0.25">
      <c r="A32">
        <v>29</v>
      </c>
      <c r="B32" s="16">
        <f>'D Vall'!$C$49*(1/(1+'D Vall'!$C$10)^A32)*(('D Vall'!$C$12+1)^NuvVall!A32)</f>
        <v>58808.226339087058</v>
      </c>
      <c r="C32" s="16">
        <f>IF('D Vall'!$C$8+1&gt;A32,B32,0)</f>
        <v>58808.226339087058</v>
      </c>
      <c r="D32" s="16">
        <f>'D Vall'!$C$50*(1/(1+'D Vall'!$C$10)^A32)*(('D Vall'!$C$12+1)^NuvVall!A32)</f>
        <v>54723.345962725027</v>
      </c>
      <c r="E32" s="16">
        <f>IF('D Vall'!$C$8+1&gt;A32,D32,0)</f>
        <v>54723.345962725027</v>
      </c>
      <c r="F32" s="16">
        <f>'D Vall'!$C$46/(POWER(1+'D Vall'!$C$10,A32))</f>
        <v>7854.3357009330575</v>
      </c>
      <c r="G32" s="16">
        <f>IF('D Vall'!$C$8+1&gt;A32,F32,0)</f>
        <v>7854.3357009330575</v>
      </c>
      <c r="H32" s="16"/>
      <c r="I32">
        <v>29</v>
      </c>
      <c r="J32" s="16">
        <f t="shared" si="0"/>
        <v>58808.226339087058</v>
      </c>
      <c r="K32" s="16">
        <f t="shared" si="1"/>
        <v>54723.345962725027</v>
      </c>
      <c r="L32" s="16"/>
      <c r="M32" s="16">
        <f t="shared" si="2"/>
        <v>-7854.3357009330575</v>
      </c>
      <c r="Q32" s="16"/>
      <c r="R32" s="16"/>
    </row>
    <row r="33" spans="1:18" x14ac:dyDescent="0.25">
      <c r="A33">
        <v>30</v>
      </c>
      <c r="B33" s="16">
        <f>'D Vall'!$C$49*(1/(1+'D Vall'!$C$10)^A33)*(('D Vall'!$C$12+1)^NuvVall!A33)</f>
        <v>57472.967093706815</v>
      </c>
      <c r="C33" s="16">
        <f>IF('D Vall'!$C$8+1&gt;A33,B33,0)</f>
        <v>57472.967093706815</v>
      </c>
      <c r="D33" s="16">
        <f>'D Vall'!$C$50*(1/(1+'D Vall'!$C$10)^A33)*(('D Vall'!$C$12+1)^NuvVall!A33)</f>
        <v>53480.835208981996</v>
      </c>
      <c r="E33" s="16">
        <f>IF('D Vall'!$C$8+1&gt;A33,D33,0)</f>
        <v>53480.835208981996</v>
      </c>
      <c r="F33" s="16">
        <f>'D Vall'!$C$46/(POWER(1+'D Vall'!$C$10,A33))</f>
        <v>7588.7301458290403</v>
      </c>
      <c r="G33" s="16">
        <f>IF('D Vall'!$C$8+1&gt;A33,F33,0)</f>
        <v>7588.7301458290403</v>
      </c>
      <c r="H33" s="16"/>
      <c r="I33">
        <v>30</v>
      </c>
      <c r="J33" s="16">
        <f t="shared" si="0"/>
        <v>57472.967093706815</v>
      </c>
      <c r="K33" s="16">
        <f t="shared" si="1"/>
        <v>53480.835208981996</v>
      </c>
      <c r="L33" s="16"/>
      <c r="M33" s="16">
        <f t="shared" si="2"/>
        <v>-7588.7301458290403</v>
      </c>
      <c r="Q33" s="16"/>
      <c r="R33" s="16"/>
    </row>
    <row r="34" spans="1:18" x14ac:dyDescent="0.25">
      <c r="A34">
        <v>31</v>
      </c>
      <c r="B34" s="16">
        <f>'D Vall'!$C$49*(1/(1+'D Vall'!$C$10)^A34)*(('D Vall'!$C$12+1)^NuvVall!A34)</f>
        <v>56168.025328777265</v>
      </c>
      <c r="C34" s="16">
        <f>IF('D Vall'!$C$8+1&gt;A34,B34,0)</f>
        <v>56168.025328777265</v>
      </c>
      <c r="D34" s="16">
        <f>'D Vall'!$C$50*(1/(1+'D Vall'!$C$10)^A34)*(('D Vall'!$C$12+1)^NuvVall!A34)</f>
        <v>52266.5360520631</v>
      </c>
      <c r="E34" s="16">
        <f>IF('D Vall'!$C$8+1&gt;A34,D34,0)</f>
        <v>52266.5360520631</v>
      </c>
      <c r="F34" s="16">
        <f>'D Vall'!$C$46/(POWER(1+'D Vall'!$C$10,A34))</f>
        <v>7332.1064210908607</v>
      </c>
      <c r="G34" s="16">
        <f>IF('D Vall'!$C$8+1&gt;A34,F34,0)</f>
        <v>7332.1064210908607</v>
      </c>
      <c r="H34" s="16"/>
      <c r="I34">
        <v>31</v>
      </c>
      <c r="J34" s="16">
        <f t="shared" si="0"/>
        <v>56168.025328777265</v>
      </c>
      <c r="K34" s="16">
        <f t="shared" si="1"/>
        <v>52266.5360520631</v>
      </c>
      <c r="L34" s="16"/>
      <c r="M34" s="16">
        <f t="shared" si="2"/>
        <v>-7332.1064210908607</v>
      </c>
      <c r="Q34" s="16"/>
      <c r="R34" s="16"/>
    </row>
    <row r="35" spans="1:18" x14ac:dyDescent="0.25">
      <c r="A35">
        <v>32</v>
      </c>
      <c r="B35" s="16">
        <f>'D Vall'!$C$49*(1/(1+'D Vall'!$C$10)^A35)*(('D Vall'!$C$12+1)^NuvVall!A35)</f>
        <v>54892.712676384755</v>
      </c>
      <c r="C35" s="16">
        <f>IF('D Vall'!$C$8+1&gt;A35,B35,0)</f>
        <v>54892.712676384755</v>
      </c>
      <c r="D35" s="16">
        <f>'D Vall'!$C$50*(1/(1+'D Vall'!$C$10)^A35)*(('D Vall'!$C$12+1)^NuvVall!A35)</f>
        <v>51079.807938803708</v>
      </c>
      <c r="E35" s="16">
        <f>IF('D Vall'!$C$8+1&gt;A35,D35,0)</f>
        <v>51079.807938803708</v>
      </c>
      <c r="F35" s="16">
        <f>'D Vall'!$C$46/(POWER(1+'D Vall'!$C$10,A35))</f>
        <v>7084.160793324505</v>
      </c>
      <c r="G35" s="16">
        <f>IF('D Vall'!$C$8+1&gt;A35,F35,0)</f>
        <v>7084.160793324505</v>
      </c>
      <c r="H35" s="16"/>
      <c r="I35">
        <v>32</v>
      </c>
      <c r="J35" s="16">
        <f t="shared" si="0"/>
        <v>54892.712676384755</v>
      </c>
      <c r="K35" s="16">
        <f t="shared" si="1"/>
        <v>51079.807938803708</v>
      </c>
      <c r="L35" s="16"/>
      <c r="M35" s="16">
        <f t="shared" si="2"/>
        <v>-7084.160793324505</v>
      </c>
      <c r="Q35" s="16"/>
      <c r="R35" s="16"/>
    </row>
    <row r="36" spans="1:18" x14ac:dyDescent="0.25">
      <c r="A36">
        <v>33</v>
      </c>
      <c r="B36" s="16">
        <f>'D Vall'!$C$49*(1/(1+'D Vall'!$C$10)^A36)*(('D Vall'!$C$12+1)^NuvVall!A36)</f>
        <v>53646.356398225296</v>
      </c>
      <c r="C36" s="16">
        <f>IF('D Vall'!$C$8+1&gt;A36,B36,0)</f>
        <v>53646.356398225296</v>
      </c>
      <c r="D36" s="16">
        <f>'D Vall'!$C$50*(1/(1+'D Vall'!$C$10)^A36)*(('D Vall'!$C$12+1)^NuvVall!A36)</f>
        <v>49920.024859999961</v>
      </c>
      <c r="E36" s="16">
        <f>IF('D Vall'!$C$8+1&gt;A36,D36,0)</f>
        <v>49920.024859999961</v>
      </c>
      <c r="F36" s="16">
        <f>'D Vall'!$C$46/(POWER(1+'D Vall'!$C$10,A36))</f>
        <v>6844.5998003135319</v>
      </c>
      <c r="G36" s="16">
        <f>IF('D Vall'!$C$8+1&gt;A36,F36,0)</f>
        <v>6844.5998003135319</v>
      </c>
      <c r="H36" s="16"/>
      <c r="I36">
        <v>33</v>
      </c>
      <c r="J36" s="16">
        <f t="shared" si="0"/>
        <v>53646.356398225296</v>
      </c>
      <c r="K36" s="16">
        <f t="shared" si="1"/>
        <v>49920.024859999961</v>
      </c>
      <c r="L36" s="16"/>
      <c r="M36" s="16">
        <f t="shared" si="2"/>
        <v>-6844.5998003135319</v>
      </c>
      <c r="Q36" s="16"/>
      <c r="R36" s="16"/>
    </row>
    <row r="37" spans="1:18" x14ac:dyDescent="0.25">
      <c r="A37">
        <v>34</v>
      </c>
      <c r="B37" s="16">
        <f>'D Vall'!$C$49*(1/(1+'D Vall'!$C$10)^A37)*(('D Vall'!$C$12+1)^NuvVall!A37)</f>
        <v>52428.29903072938</v>
      </c>
      <c r="C37" s="16">
        <f>IF('D Vall'!$C$8+1&gt;A37,B37,0)</f>
        <v>52428.29903072938</v>
      </c>
      <c r="D37" s="16">
        <f>'D Vall'!$C$50*(1/(1+'D Vall'!$C$10)^A37)*(('D Vall'!$C$12+1)^NuvVall!A37)</f>
        <v>48786.575020183547</v>
      </c>
      <c r="E37" s="16">
        <f>IF('D Vall'!$C$8+1&gt;A37,D37,0)</f>
        <v>48786.575020183547</v>
      </c>
      <c r="F37" s="16">
        <f>'D Vall'!$C$46/(POWER(1+'D Vall'!$C$10,A37))</f>
        <v>6613.1399036845723</v>
      </c>
      <c r="G37" s="16">
        <f>IF('D Vall'!$C$8+1&gt;A37,F37,0)</f>
        <v>6613.1399036845723</v>
      </c>
      <c r="H37" s="16"/>
      <c r="I37">
        <v>34</v>
      </c>
      <c r="J37" s="16">
        <f t="shared" si="0"/>
        <v>52428.29903072938</v>
      </c>
      <c r="K37" s="16">
        <f t="shared" si="1"/>
        <v>48786.575020183547</v>
      </c>
      <c r="L37" s="16"/>
      <c r="M37" s="16">
        <f t="shared" si="2"/>
        <v>-6613.1399036845723</v>
      </c>
      <c r="Q37" s="16"/>
      <c r="R37" s="16"/>
    </row>
    <row r="38" spans="1:18" x14ac:dyDescent="0.25">
      <c r="A38">
        <v>35</v>
      </c>
      <c r="B38" s="16">
        <f>'D Vall'!$C$49*(1/(1+'D Vall'!$C$10)^A38)*(('D Vall'!$C$12+1)^NuvVall!A38)</f>
        <v>51237.898038244224</v>
      </c>
      <c r="C38" s="16">
        <f>IF('D Vall'!$C$8+1&gt;A38,B38,0)</f>
        <v>51237.898038244224</v>
      </c>
      <c r="D38" s="16">
        <f>'D Vall'!$C$50*(1/(1+'D Vall'!$C$10)^A38)*(('D Vall'!$C$12+1)^NuvVall!A38)</f>
        <v>47678.860514894361</v>
      </c>
      <c r="E38" s="16">
        <f>IF('D Vall'!$C$8+1&gt;A38,D38,0)</f>
        <v>47678.860514894361</v>
      </c>
      <c r="F38" s="16">
        <f>'D Vall'!$C$46/(POWER(1+'D Vall'!$C$10,A38))</f>
        <v>6389.5071533184282</v>
      </c>
      <c r="G38" s="16">
        <f>IF('D Vall'!$C$8+1&gt;A38,F38,0)</f>
        <v>6389.5071533184282</v>
      </c>
      <c r="H38" s="16"/>
      <c r="I38">
        <v>35</v>
      </c>
      <c r="J38" s="16">
        <f t="shared" si="0"/>
        <v>51237.898038244224</v>
      </c>
      <c r="K38" s="16">
        <f t="shared" si="1"/>
        <v>47678.860514894361</v>
      </c>
      <c r="L38" s="16"/>
      <c r="M38" s="16">
        <f t="shared" si="2"/>
        <v>-6389.5071533184282</v>
      </c>
      <c r="Q38" s="16"/>
      <c r="R38" s="16"/>
    </row>
    <row r="39" spans="1:18" x14ac:dyDescent="0.25">
      <c r="A39">
        <v>36</v>
      </c>
      <c r="B39" s="16">
        <f>'D Vall'!$C$49*(1/(1+'D Vall'!$C$10)^A39)*(('D Vall'!$C$12+1)^NuvVall!A39)</f>
        <v>50074.525474090857</v>
      </c>
      <c r="C39" s="16">
        <f>IF('D Vall'!$C$8+1&gt;A39,B39,0)</f>
        <v>50074.525474090857</v>
      </c>
      <c r="D39" s="16">
        <f>'D Vall'!$C$50*(1/(1+'D Vall'!$C$10)^A39)*(('D Vall'!$C$12+1)^NuvVall!A39)</f>
        <v>46596.297015280827</v>
      </c>
      <c r="E39" s="16">
        <f>IF('D Vall'!$C$8+1&gt;A39,D39,0)</f>
        <v>46596.297015280827</v>
      </c>
      <c r="F39" s="16">
        <f>'D Vall'!$C$46/(POWER(1+'D Vall'!$C$10,A39))</f>
        <v>6173.4368631095922</v>
      </c>
      <c r="G39" s="16">
        <f>IF('D Vall'!$C$8+1&gt;A39,F39,0)</f>
        <v>6173.4368631095922</v>
      </c>
      <c r="H39" s="16"/>
      <c r="I39">
        <v>36</v>
      </c>
      <c r="J39" s="16">
        <f t="shared" si="0"/>
        <v>50074.525474090857</v>
      </c>
      <c r="K39" s="16">
        <f t="shared" si="1"/>
        <v>46596.297015280827</v>
      </c>
      <c r="L39" s="16"/>
      <c r="M39" s="16">
        <f t="shared" si="2"/>
        <v>-6173.4368631095922</v>
      </c>
      <c r="Q39" s="16"/>
      <c r="R39" s="16"/>
    </row>
    <row r="40" spans="1:18" x14ac:dyDescent="0.25">
      <c r="A40">
        <v>37</v>
      </c>
      <c r="B40" s="16">
        <f>'D Vall'!$C$49*(1/(1+'D Vall'!$C$10)^A40)*(('D Vall'!$C$12+1)^NuvVall!A40)</f>
        <v>48937.567649316821</v>
      </c>
      <c r="C40" s="16">
        <f>IF('D Vall'!$C$8+1&gt;A40,B40,0)</f>
        <v>48937.567649316821</v>
      </c>
      <c r="D40" s="16">
        <f>'D Vall'!$C$50*(1/(1+'D Vall'!$C$10)^A40)*(('D Vall'!$C$12+1)^NuvVall!A40)</f>
        <v>45538.313459861412</v>
      </c>
      <c r="E40" s="16">
        <f>IF('D Vall'!$C$8+1&gt;A40,D40,0)</f>
        <v>45538.313459861412</v>
      </c>
      <c r="F40" s="16">
        <f>'D Vall'!$C$46/(POWER(1+'D Vall'!$C$10,A40))</f>
        <v>5964.6732976904277</v>
      </c>
      <c r="G40" s="16">
        <f>IF('D Vall'!$C$8+1&gt;A40,F40,0)</f>
        <v>5964.6732976904277</v>
      </c>
      <c r="H40" s="16"/>
      <c r="I40">
        <v>37</v>
      </c>
      <c r="J40" s="16">
        <f t="shared" si="0"/>
        <v>48937.567649316821</v>
      </c>
      <c r="K40" s="16">
        <f t="shared" si="1"/>
        <v>45538.313459861412</v>
      </c>
      <c r="L40" s="16"/>
      <c r="M40" s="16">
        <f t="shared" si="2"/>
        <v>-5964.6732976904277</v>
      </c>
      <c r="Q40" s="16"/>
      <c r="R40" s="16"/>
    </row>
    <row r="41" spans="1:18" x14ac:dyDescent="0.25">
      <c r="A41">
        <v>38</v>
      </c>
      <c r="B41" s="16">
        <f>'D Vall'!$C$49*(1/(1+'D Vall'!$C$10)^A41)*(('D Vall'!$C$12+1)^NuvVall!A41)</f>
        <v>47826.424808970012</v>
      </c>
      <c r="C41" s="16">
        <f>IF('D Vall'!$C$8+1&gt;A41,B41,0)</f>
        <v>47826.424808970012</v>
      </c>
      <c r="D41" s="16">
        <f>'D Vall'!$C$50*(1/(1+'D Vall'!$C$10)^A41)*(('D Vall'!$C$12+1)^NuvVall!A41)</f>
        <v>44504.351753284849</v>
      </c>
      <c r="E41" s="16">
        <f>IF('D Vall'!$C$8+1&gt;A41,D41,0)</f>
        <v>44504.351753284849</v>
      </c>
      <c r="F41" s="16">
        <f>'D Vall'!$C$46/(POWER(1+'D Vall'!$C$10,A41))</f>
        <v>5762.9693697492057</v>
      </c>
      <c r="G41" s="16">
        <f>IF('D Vall'!$C$8+1&gt;A41,F41,0)</f>
        <v>5762.9693697492057</v>
      </c>
      <c r="H41" s="16"/>
      <c r="I41">
        <v>38</v>
      </c>
      <c r="J41" s="16">
        <f t="shared" si="0"/>
        <v>47826.424808970012</v>
      </c>
      <c r="K41" s="16">
        <f t="shared" si="1"/>
        <v>44504.351753284849</v>
      </c>
      <c r="L41" s="16"/>
      <c r="M41" s="16">
        <f t="shared" si="2"/>
        <v>-5762.9693697492057</v>
      </c>
      <c r="Q41" s="16"/>
      <c r="R41" s="16"/>
    </row>
    <row r="42" spans="1:18" x14ac:dyDescent="0.25">
      <c r="A42">
        <v>39</v>
      </c>
      <c r="B42" s="16">
        <f>'D Vall'!$C$49*(1/(1+'D Vall'!$C$10)^A42)*(('D Vall'!$C$12+1)^NuvVall!A42)</f>
        <v>46740.51081572289</v>
      </c>
      <c r="C42" s="16">
        <f>IF('D Vall'!$C$8+1&gt;A42,B42,0)</f>
        <v>46740.51081572289</v>
      </c>
      <c r="D42" s="16">
        <f>'D Vall'!$C$50*(1/(1+'D Vall'!$C$10)^A42)*(('D Vall'!$C$12+1)^NuvVall!A42)</f>
        <v>43493.866471930087</v>
      </c>
      <c r="E42" s="16">
        <f>IF('D Vall'!$C$8+1&gt;A42,D42,0)</f>
        <v>43493.866471930087</v>
      </c>
      <c r="F42" s="16">
        <f>'D Vall'!$C$46/(POWER(1+'D Vall'!$C$10,A42))</f>
        <v>5568.0863475837741</v>
      </c>
      <c r="G42" s="16">
        <f>IF('D Vall'!$C$8+1&gt;A42,F42,0)</f>
        <v>5568.0863475837741</v>
      </c>
      <c r="H42" s="16"/>
      <c r="I42">
        <v>39</v>
      </c>
      <c r="J42" s="16">
        <f t="shared" si="0"/>
        <v>46740.51081572289</v>
      </c>
      <c r="K42" s="16">
        <f t="shared" si="1"/>
        <v>43493.866471930087</v>
      </c>
      <c r="L42" s="16"/>
      <c r="M42" s="16">
        <f t="shared" si="2"/>
        <v>-5568.0863475837741</v>
      </c>
      <c r="Q42" s="16"/>
      <c r="R42" s="16"/>
    </row>
    <row r="43" spans="1:18" x14ac:dyDescent="0.25">
      <c r="A43">
        <v>40</v>
      </c>
      <c r="B43" s="16">
        <f>'D Vall'!$C$49*(1/(1+'D Vall'!$C$10)^A43)*(('D Vall'!$C$12+1)^NuvVall!A43)</f>
        <v>45679.252840679917</v>
      </c>
      <c r="C43" s="16">
        <f>IF('D Vall'!$C$8+1&gt;A43,B43,0)</f>
        <v>45679.252840679917</v>
      </c>
      <c r="D43" s="16">
        <f>'D Vall'!$C$50*(1/(1+'D Vall'!$C$10)^A43)*(('D Vall'!$C$12+1)^NuvVall!A43)</f>
        <v>42506.324576190622</v>
      </c>
      <c r="E43" s="16">
        <f>IF('D Vall'!$C$8+1&gt;A43,D43,0)</f>
        <v>42506.324576190622</v>
      </c>
      <c r="F43" s="16">
        <f>'D Vall'!$C$46/(POWER(1+'D Vall'!$C$10,A43))</f>
        <v>5379.7935725447105</v>
      </c>
      <c r="G43" s="16">
        <f>IF('D Vall'!$C$8+1&gt;A43,F43,0)</f>
        <v>5379.7935725447105</v>
      </c>
      <c r="H43" s="16"/>
      <c r="I43">
        <v>40</v>
      </c>
      <c r="J43" s="16">
        <f t="shared" si="0"/>
        <v>45679.252840679917</v>
      </c>
      <c r="K43" s="16">
        <f t="shared" si="1"/>
        <v>42506.324576190622</v>
      </c>
      <c r="L43" s="16"/>
      <c r="M43" s="16">
        <f t="shared" si="2"/>
        <v>-5379.7935725447105</v>
      </c>
      <c r="Q43" s="16"/>
      <c r="R43" s="16"/>
    </row>
    <row r="44" spans="1:18" x14ac:dyDescent="0.25">
      <c r="A44">
        <v>41</v>
      </c>
      <c r="B44" s="16">
        <f>'D Vall'!$C$49*(1/(1+'D Vall'!$C$10)^A44)*(('D Vall'!$C$12+1)^40)</f>
        <v>44134.543807420217</v>
      </c>
      <c r="C44" s="16">
        <f>IF('D Vall'!$C$8+1&gt;A44,B44,0)</f>
        <v>44134.543807420217</v>
      </c>
      <c r="D44" s="16">
        <f>'D Vall'!$C$50*(1/(1+'D Vall'!$C$10)^A44)*(('D Vall'!$C$12+1)^40)</f>
        <v>41068.912634000611</v>
      </c>
      <c r="E44" s="16">
        <f>IF('D Vall'!$C$8+1&gt;A44,D44,0)</f>
        <v>41068.912634000611</v>
      </c>
      <c r="F44" s="16">
        <f>'D Vall'!$C$46/(POWER(1+'D Vall'!$C$10,A44))</f>
        <v>5197.8681860335382</v>
      </c>
      <c r="G44" s="16">
        <f>IF('D Vall'!$C$8+1&gt;A44,F44,0)</f>
        <v>5197.8681860335382</v>
      </c>
      <c r="H44" s="16"/>
      <c r="I44">
        <v>41</v>
      </c>
      <c r="J44" s="16">
        <f t="shared" si="0"/>
        <v>44134.543807420217</v>
      </c>
      <c r="K44" s="16">
        <f t="shared" si="1"/>
        <v>41068.912634000611</v>
      </c>
      <c r="L44" s="16"/>
      <c r="M44" s="16">
        <f t="shared" si="2"/>
        <v>-5197.8681860335382</v>
      </c>
      <c r="Q44" s="16"/>
      <c r="R44" s="16"/>
    </row>
    <row r="45" spans="1:18" x14ac:dyDescent="0.25">
      <c r="A45">
        <v>42</v>
      </c>
      <c r="B45" s="16">
        <f>'D Vall'!$C$49*(1/(1+'D Vall'!$C$10)^A45)*(('D Vall'!$C$12+1)^40)</f>
        <v>42642.071311517117</v>
      </c>
      <c r="C45" s="16">
        <f>IF('D Vall'!$C$8+1&gt;A45,B45,0)</f>
        <v>42642.071311517117</v>
      </c>
      <c r="D45" s="16">
        <f>'D Vall'!$C$50*(1/(1+'D Vall'!$C$10)^A45)*(('D Vall'!$C$12+1)^40)</f>
        <v>39680.108825121359</v>
      </c>
      <c r="E45" s="16">
        <f>IF('D Vall'!$C$8+1&gt;A45,D45,0)</f>
        <v>39680.108825121359</v>
      </c>
      <c r="F45" s="16">
        <f>'D Vall'!$C$46/(POWER(1+'D Vall'!$C$10,A45))</f>
        <v>5022.0948657328863</v>
      </c>
      <c r="G45" s="16">
        <f>IF('D Vall'!$C$8+1&gt;A45,F45,0)</f>
        <v>5022.0948657328863</v>
      </c>
      <c r="H45" s="16"/>
      <c r="J45" s="16"/>
      <c r="K45" s="16"/>
      <c r="L45" s="16"/>
      <c r="M45" s="16"/>
      <c r="Q45" s="16"/>
      <c r="R45" s="16"/>
    </row>
    <row r="46" spans="1:18" x14ac:dyDescent="0.25">
      <c r="A46">
        <v>43</v>
      </c>
      <c r="B46" s="16">
        <f>'D Vall'!$C$49*(1/(1+'D Vall'!$C$10)^A46)*(('D Vall'!$C$12+1)^40)</f>
        <v>41200.068900016537</v>
      </c>
      <c r="C46" s="16">
        <f>IF('D Vall'!$C$8+1&gt;A46,B46,0)</f>
        <v>41200.068900016537</v>
      </c>
      <c r="D46" s="16">
        <f>'D Vall'!$C$50*(1/(1+'D Vall'!$C$10)^A46)*(('D Vall'!$C$12+1)^40)</f>
        <v>38338.269396252523</v>
      </c>
      <c r="E46" s="16">
        <f>IF('D Vall'!$C$8+1&gt;A46,D46,0)</f>
        <v>38338.269396252523</v>
      </c>
      <c r="F46" s="16">
        <f>'D Vall'!$C$46/(POWER(1+'D Vall'!$C$10,A46))</f>
        <v>4852.2655707564118</v>
      </c>
      <c r="G46" s="16">
        <f>IF('D Vall'!$C$8+1&gt;A46,F46,0)</f>
        <v>4852.2655707564118</v>
      </c>
      <c r="H46" s="16"/>
      <c r="I46" t="s">
        <v>160</v>
      </c>
      <c r="J46" s="16">
        <f>SUM(J3:J45)</f>
        <v>3005129.9242292545</v>
      </c>
      <c r="K46" s="16">
        <f t="shared" ref="K46:M46" si="3">SUM(K3:K45)</f>
        <v>2796390.4838468558</v>
      </c>
      <c r="L46" s="16">
        <f t="shared" si="3"/>
        <v>0</v>
      </c>
      <c r="M46" s="16">
        <f t="shared" si="3"/>
        <v>-460060.90897047153</v>
      </c>
      <c r="Q46" s="16"/>
      <c r="R46" s="16"/>
    </row>
    <row r="47" spans="1:18" x14ac:dyDescent="0.25">
      <c r="A47">
        <v>44</v>
      </c>
      <c r="B47" s="16">
        <f>'D Vall'!$C$49*(1/(1+'D Vall'!$C$10)^A47)*(('D Vall'!$C$12+1)^40)</f>
        <v>39806.829855088443</v>
      </c>
      <c r="C47" s="16">
        <f>IF('D Vall'!$C$8+1&gt;A47,B47,0)</f>
        <v>39806.829855088443</v>
      </c>
      <c r="D47" s="16">
        <f>'D Vall'!$C$50*(1/(1+'D Vall'!$C$10)^A47)*(('D Vall'!$C$12+1)^40)</f>
        <v>37041.806179954132</v>
      </c>
      <c r="E47" s="16">
        <f>IF('D Vall'!$C$8+1&gt;A47,D47,0)</f>
        <v>37041.806179954132</v>
      </c>
      <c r="F47" s="16">
        <f>'D Vall'!$C$46/(POWER(1+'D Vall'!$C$10,A47))</f>
        <v>4688.1792954168241</v>
      </c>
      <c r="G47" s="16">
        <f>IF('D Vall'!$C$8+1&gt;A47,F47,0)</f>
        <v>4688.1792954168241</v>
      </c>
      <c r="H47" s="16"/>
      <c r="J47" s="16"/>
      <c r="K47" s="16"/>
      <c r="L47" s="16"/>
      <c r="M47" s="16"/>
      <c r="Q47" s="16"/>
      <c r="R47" s="16"/>
    </row>
    <row r="48" spans="1:18" x14ac:dyDescent="0.25">
      <c r="A48">
        <v>45</v>
      </c>
      <c r="B48" s="16">
        <f>'D Vall'!$C$49*(1/(1+'D Vall'!$C$10)^A48)*(('D Vall'!$C$12+1)^40)</f>
        <v>38460.705173998496</v>
      </c>
      <c r="C48" s="16">
        <f>IF('D Vall'!$C$8+1&gt;A48,B48,0)</f>
        <v>38460.705173998496</v>
      </c>
      <c r="D48" s="16">
        <f>'D Vall'!$C$50*(1/(1+'D Vall'!$C$10)^A48)*(('D Vall'!$C$12+1)^40)</f>
        <v>35789.184714931529</v>
      </c>
      <c r="E48" s="16">
        <f>IF('D Vall'!$C$8+1&gt;A48,D48,0)</f>
        <v>35789.184714931529</v>
      </c>
      <c r="F48" s="16">
        <f>'D Vall'!$C$46/(POWER(1+'D Vall'!$C$10,A48))</f>
        <v>4529.6418313206032</v>
      </c>
      <c r="G48" s="16">
        <f>IF('D Vall'!$C$8+1&gt;A48,F48,0)</f>
        <v>4529.6418313206032</v>
      </c>
      <c r="H48" s="16"/>
      <c r="J48" s="16"/>
      <c r="K48" s="16"/>
      <c r="L48" s="16"/>
      <c r="M48" s="16"/>
      <c r="Q48" s="16"/>
      <c r="R48" s="16"/>
    </row>
    <row r="49" spans="1:18" x14ac:dyDescent="0.25">
      <c r="A49">
        <v>46</v>
      </c>
      <c r="B49" s="16">
        <f>'D Vall'!$C$49*(1/(1+'D Vall'!$C$10)^A49)*(('D Vall'!$C$12+1)^40)</f>
        <v>37160.101617389853</v>
      </c>
      <c r="C49" s="16">
        <f>IF('D Vall'!$C$8+1&gt;A49,B49,0)</f>
        <v>37160.101617389853</v>
      </c>
      <c r="D49" s="16">
        <f>'D Vall'!$C$50*(1/(1+'D Vall'!$C$10)^A49)*(('D Vall'!$C$12+1)^40)</f>
        <v>34578.922429885533</v>
      </c>
      <c r="E49" s="16">
        <f>IF('D Vall'!$C$8+1&gt;A49,D49,0)</f>
        <v>34578.922429885533</v>
      </c>
      <c r="F49" s="16">
        <f>'D Vall'!$C$46/(POWER(1+'D Vall'!$C$10,A49))</f>
        <v>4376.4655375078282</v>
      </c>
      <c r="G49" s="16">
        <f>IF('D Vall'!$C$8+1&gt;A49,F49,0)</f>
        <v>4376.4655375078282</v>
      </c>
      <c r="H49" s="16"/>
      <c r="J49" s="16"/>
      <c r="K49" s="16"/>
      <c r="L49" s="16"/>
      <c r="M49" s="16"/>
      <c r="Q49" s="16"/>
      <c r="R49" s="16"/>
    </row>
    <row r="50" spans="1:18" x14ac:dyDescent="0.25">
      <c r="A50">
        <v>47</v>
      </c>
      <c r="B50" s="16">
        <f>'D Vall'!$C$49*(1/(1+'D Vall'!$C$10)^A50)*(('D Vall'!$C$12+1)^40)</f>
        <v>35903.479823565081</v>
      </c>
      <c r="C50" s="16">
        <f>IF('D Vall'!$C$8+1&gt;A50,B50,0)</f>
        <v>35903.479823565081</v>
      </c>
      <c r="D50" s="16">
        <f>'D Vall'!$C$50*(1/(1+'D Vall'!$C$10)^A50)*(('D Vall'!$C$12+1)^40)</f>
        <v>33409.586888778307</v>
      </c>
      <c r="E50" s="16">
        <f>IF('D Vall'!$C$8+1&gt;A50,D50,0)</f>
        <v>33409.586888778307</v>
      </c>
      <c r="F50" s="16">
        <f>'D Vall'!$C$46/(POWER(1+'D Vall'!$C$10,A50))</f>
        <v>4228.469118365053</v>
      </c>
      <c r="G50" s="16">
        <f>IF('D Vall'!$C$8+1&gt;A50,F50,0)</f>
        <v>4228.469118365053</v>
      </c>
      <c r="H50" s="16"/>
      <c r="J50" s="16"/>
      <c r="K50" s="16"/>
      <c r="L50" s="16"/>
      <c r="M50" s="16"/>
      <c r="Q50" s="16"/>
      <c r="R50" s="16"/>
    </row>
    <row r="51" spans="1:18" x14ac:dyDescent="0.25">
      <c r="A51">
        <v>48</v>
      </c>
      <c r="B51" s="16">
        <f>'D Vall'!$C$49*(1/(1+'D Vall'!$C$10)^A51)*(('D Vall'!$C$12+1)^40)</f>
        <v>34689.352486536322</v>
      </c>
      <c r="C51" s="16">
        <f>IF('D Vall'!$C$8+1&gt;A51,B51,0)</f>
        <v>34689.352486536322</v>
      </c>
      <c r="D51" s="16">
        <f>'D Vall'!$C$50*(1/(1+'D Vall'!$C$10)^A51)*(('D Vall'!$C$12+1)^40)</f>
        <v>32279.794095437977</v>
      </c>
      <c r="E51" s="16">
        <f>IF('D Vall'!$C$8+1&gt;A51,D51,0)</f>
        <v>32279.794095437977</v>
      </c>
      <c r="F51" s="16">
        <f>'D Vall'!$C$46/(POWER(1+'D Vall'!$C$10,A51))</f>
        <v>4085.4774090483606</v>
      </c>
      <c r="G51" s="16">
        <f>IF('D Vall'!$C$8+1&gt;A51,F51,0)</f>
        <v>4085.4774090483606</v>
      </c>
      <c r="H51" s="16"/>
      <c r="J51" s="16"/>
      <c r="K51" s="16"/>
      <c r="L51" s="16"/>
      <c r="M51" s="16"/>
      <c r="Q51" s="16"/>
      <c r="R51" s="16"/>
    </row>
    <row r="52" spans="1:18" x14ac:dyDescent="0.25">
      <c r="A52">
        <v>49</v>
      </c>
      <c r="B52" s="16">
        <f>'D Vall'!$C$49*(1/(1+'D Vall'!$C$10)^A52)*(('D Vall'!$C$12+1)^40)</f>
        <v>33516.282595687269</v>
      </c>
      <c r="C52" s="16">
        <f>IF('D Vall'!$C$8+1&gt;A52,B52,0)</f>
        <v>33516.282595687269</v>
      </c>
      <c r="D52" s="16">
        <f>'D Vall'!$C$50*(1/(1+'D Vall'!$C$10)^A52)*(('D Vall'!$C$12+1)^40)</f>
        <v>31188.206855495635</v>
      </c>
      <c r="E52" s="16">
        <f>IF('D Vall'!$C$8+1&gt;A52,D52,0)</f>
        <v>31188.206855495635</v>
      </c>
      <c r="F52" s="16">
        <f>'D Vall'!$C$46/(POWER(1+'D Vall'!$C$10,A52))</f>
        <v>3947.3211681626681</v>
      </c>
      <c r="G52" s="16">
        <f>IF('D Vall'!$C$8+1&gt;A52,F52,0)</f>
        <v>3947.3211681626681</v>
      </c>
      <c r="H52" s="16"/>
      <c r="J52" s="16"/>
      <c r="K52" s="16"/>
      <c r="L52" s="16"/>
      <c r="M52" s="16"/>
      <c r="Q52" s="16"/>
      <c r="R52" s="16"/>
    </row>
    <row r="53" spans="1:18" x14ac:dyDescent="0.25">
      <c r="A53">
        <v>50</v>
      </c>
      <c r="B53" s="16">
        <f>'D Vall'!$C$49*(1/(1+'D Vall'!$C$10)^A53)*(('D Vall'!$C$12+1)^40)</f>
        <v>32382.881734963546</v>
      </c>
      <c r="C53" s="16">
        <f>IF('D Vall'!$C$8+1&gt;A53,B53,0)</f>
        <v>32382.881734963546</v>
      </c>
      <c r="D53" s="16">
        <f>'D Vall'!$C$50*(1/(1+'D Vall'!$C$10)^A53)*(('D Vall'!$C$12+1)^40)</f>
        <v>30133.533193715586</v>
      </c>
      <c r="E53" s="16">
        <f>IF('D Vall'!$C$8+1&gt;A53,D53,0)</f>
        <v>30133.533193715586</v>
      </c>
      <c r="F53" s="16">
        <f>'D Vall'!$C$46/(POWER(1+'D Vall'!$C$10,A53))</f>
        <v>3813.8368774518531</v>
      </c>
      <c r="G53" s="16">
        <f>IF('D Vall'!$C$8+1&gt;A53,F53,0)</f>
        <v>3813.8368774518531</v>
      </c>
      <c r="H53" s="16"/>
      <c r="J53" s="16"/>
      <c r="K53" s="16"/>
      <c r="L53" s="16"/>
      <c r="M53" s="16"/>
      <c r="Q53" s="16"/>
      <c r="R53" s="16"/>
    </row>
    <row r="54" spans="1:18" x14ac:dyDescent="0.25">
      <c r="A54">
        <v>51</v>
      </c>
      <c r="B54" s="16">
        <f>'D Vall'!$C$49*(1/(1+'D Vall'!$C$10)^A54)*(('D Vall'!$C$12+1)^40)</f>
        <v>31287.808439578308</v>
      </c>
      <c r="C54" s="16">
        <f>IF('D Vall'!$C$8+1&gt;A54,B54,0)</f>
        <v>31287.808439578308</v>
      </c>
      <c r="D54" s="16">
        <f>'D Vall'!$C$50*(1/(1+'D Vall'!$C$10)^A54)*(('D Vall'!$C$12+1)^40)</f>
        <v>29114.524824845983</v>
      </c>
      <c r="E54" s="16">
        <f>IF('D Vall'!$C$8+1&gt;A54,D54,0)</f>
        <v>29114.524824845983</v>
      </c>
      <c r="F54" s="16">
        <f>'D Vall'!$C$46/(POWER(1+'D Vall'!$C$10,A54))</f>
        <v>3684.8665482626607</v>
      </c>
      <c r="G54" s="16">
        <f>IF('D Vall'!$C$8+1&gt;A54,F54,0)</f>
        <v>3684.8665482626607</v>
      </c>
      <c r="H54" s="16"/>
      <c r="J54" s="16"/>
      <c r="K54" s="16"/>
      <c r="L54" s="16"/>
      <c r="M54" s="16"/>
      <c r="Q54" s="16"/>
      <c r="R54" s="16"/>
    </row>
    <row r="55" spans="1:18" x14ac:dyDescent="0.25">
      <c r="A55">
        <v>52</v>
      </c>
      <c r="B55" s="16">
        <f>'D Vall'!$C$49*(1/(1+'D Vall'!$C$10)^A55)*(('D Vall'!$C$12+1)^40)</f>
        <v>30229.766608288224</v>
      </c>
      <c r="C55" s="16">
        <f>IF('D Vall'!$C$8+1&gt;A55,B55,0)</f>
        <v>30229.766608288224</v>
      </c>
      <c r="D55" s="16">
        <f>'D Vall'!$C$50*(1/(1+'D Vall'!$C$10)^A55)*(('D Vall'!$C$12+1)^40)</f>
        <v>28129.975676179696</v>
      </c>
      <c r="E55" s="16">
        <f>IF('D Vall'!$C$8+1&gt;A55,D55,0)</f>
        <v>28129.975676179696</v>
      </c>
      <c r="F55" s="16">
        <f>'D Vall'!$C$46/(POWER(1+'D Vall'!$C$10,A55))</f>
        <v>3560.2575345532955</v>
      </c>
      <c r="G55" s="16">
        <f>IF('D Vall'!$C$8+1&gt;A55,F55,0)</f>
        <v>3560.2575345532955</v>
      </c>
      <c r="H55" s="16"/>
      <c r="J55" s="16"/>
      <c r="K55" s="16"/>
      <c r="L55" s="16"/>
      <c r="M55" s="16"/>
      <c r="Q55" s="16"/>
      <c r="R55" s="16"/>
    </row>
    <row r="56" spans="1:18" x14ac:dyDescent="0.25">
      <c r="A56">
        <v>53</v>
      </c>
      <c r="B56" s="16">
        <f>'D Vall'!$C$49*(1/(1+'D Vall'!$C$10)^A56)*(('D Vall'!$C$12+1)^40)</f>
        <v>29207.503969360605</v>
      </c>
      <c r="C56" s="16">
        <f>IF('D Vall'!$C$8+1&gt;A56,B56,0)</f>
        <v>29207.503969360605</v>
      </c>
      <c r="D56" s="16">
        <f>'D Vall'!$C$50*(1/(1+'D Vall'!$C$10)^A56)*(('D Vall'!$C$12+1)^40)</f>
        <v>27178.720460077009</v>
      </c>
      <c r="E56" s="16">
        <f>IF('D Vall'!$C$8+1&gt;A56,D56,0)</f>
        <v>27178.720460077009</v>
      </c>
      <c r="F56" s="16">
        <f>'D Vall'!$C$46/(POWER(1+'D Vall'!$C$10,A56))</f>
        <v>3439.862352225407</v>
      </c>
      <c r="G56" s="16">
        <f>IF('D Vall'!$C$8+1&gt;A56,F56,0)</f>
        <v>3439.862352225407</v>
      </c>
      <c r="H56" s="16"/>
      <c r="J56" s="16"/>
      <c r="K56" s="16"/>
      <c r="L56" s="16"/>
      <c r="M56" s="16"/>
      <c r="Q56" s="16"/>
      <c r="R56" s="16"/>
    </row>
    <row r="57" spans="1:18" x14ac:dyDescent="0.25">
      <c r="A57">
        <v>54</v>
      </c>
      <c r="B57" s="16">
        <f>'D Vall'!$C$49*(1/(1+'D Vall'!$C$10)^A57)*(('D Vall'!$C$12+1)^40)</f>
        <v>28219.81059841605</v>
      </c>
      <c r="C57" s="16">
        <f>IF('D Vall'!$C$8+1&gt;A57,B57,0)</f>
        <v>28219.81059841605</v>
      </c>
      <c r="D57" s="16">
        <f>'D Vall'!$C$50*(1/(1+'D Vall'!$C$10)^A57)*(('D Vall'!$C$12+1)^40)</f>
        <v>26259.633294760395</v>
      </c>
      <c r="E57" s="16">
        <f>IF('D Vall'!$C$8+1&gt;A57,D57,0)</f>
        <v>26259.633294760395</v>
      </c>
      <c r="F57" s="16">
        <f>'D Vall'!$C$46/(POWER(1+'D Vall'!$C$10,A57))</f>
        <v>3323.5385045656103</v>
      </c>
      <c r="G57" s="16">
        <f>IF('D Vall'!$C$8+1&gt;A57,F57,0)</f>
        <v>3323.5385045656103</v>
      </c>
      <c r="H57" s="16"/>
      <c r="J57" s="16"/>
      <c r="K57" s="16"/>
      <c r="L57" s="16"/>
      <c r="M57" s="16"/>
      <c r="Q57" s="16"/>
      <c r="R57" s="16"/>
    </row>
    <row r="58" spans="1:18" x14ac:dyDescent="0.25">
      <c r="A58">
        <v>55</v>
      </c>
      <c r="B58" s="16">
        <f>'D Vall'!$C$49*(1/(1+'D Vall'!$C$10)^A58)*(('D Vall'!$C$12+1)^40)</f>
        <v>27265.517486392309</v>
      </c>
      <c r="C58" s="16">
        <f>IF('D Vall'!$C$8+1&gt;A58,B58,0)</f>
        <v>27265.517486392309</v>
      </c>
      <c r="D58" s="16">
        <f>'D Vall'!$C$50*(1/(1+'D Vall'!$C$10)^A58)*(('D Vall'!$C$12+1)^40)</f>
        <v>25371.626371749171</v>
      </c>
      <c r="E58" s="16">
        <f>IF('D Vall'!$C$8+1&gt;A58,D58,0)</f>
        <v>25371.626371749171</v>
      </c>
      <c r="F58" s="16">
        <f>'D Vall'!$C$46/(POWER(1+'D Vall'!$C$10,A58))</f>
        <v>3211.1483135899616</v>
      </c>
      <c r="G58" s="16">
        <f>IF('D Vall'!$C$8+1&gt;A58,F58,0)</f>
        <v>3211.1483135899616</v>
      </c>
      <c r="H58" s="16"/>
      <c r="J58" s="16"/>
      <c r="K58" s="16"/>
      <c r="L58" s="16"/>
      <c r="M58" s="16"/>
      <c r="Q58" s="16"/>
      <c r="R58" s="16"/>
    </row>
    <row r="59" spans="1:18" x14ac:dyDescent="0.25">
      <c r="A59">
        <v>56</v>
      </c>
      <c r="B59" s="16">
        <f>'D Vall'!$C$49*(1/(1+'D Vall'!$C$10)^A59)*(('D Vall'!$C$12+1)^40)</f>
        <v>26343.495155934605</v>
      </c>
      <c r="C59" s="16">
        <f>IF('D Vall'!$C$8+1&gt;A59,B59,0)</f>
        <v>26343.495155934605</v>
      </c>
      <c r="D59" s="16">
        <f>'D Vall'!$C$50*(1/(1+'D Vall'!$C$10)^A59)*(('D Vall'!$C$12+1)^40)</f>
        <v>24513.648668356695</v>
      </c>
      <c r="E59" s="16">
        <f>IF('D Vall'!$C$8+1&gt;A59,D59,0)</f>
        <v>24513.648668356695</v>
      </c>
      <c r="F59" s="16">
        <f>'D Vall'!$C$46/(POWER(1+'D Vall'!$C$10,A59))</f>
        <v>3102.5587570917514</v>
      </c>
      <c r="G59" s="16">
        <f>IF('D Vall'!$C$8+1&gt;A59,F59,0)</f>
        <v>3102.5587570917514</v>
      </c>
      <c r="H59" s="16"/>
      <c r="J59" s="16"/>
      <c r="K59" s="16"/>
      <c r="L59" s="16"/>
      <c r="M59" s="16"/>
      <c r="Q59" s="16"/>
      <c r="R59" s="16"/>
    </row>
    <row r="60" spans="1:18" x14ac:dyDescent="0.25">
      <c r="A60">
        <v>57</v>
      </c>
      <c r="B60" s="16">
        <f>'D Vall'!$C$49*(1/(1+'D Vall'!$C$10)^A60)*(('D Vall'!$C$12+1)^40)</f>
        <v>25452.652324574505</v>
      </c>
      <c r="C60" s="16">
        <f>IF('D Vall'!$C$8+1&gt;A60,B60,0)</f>
        <v>25452.652324574505</v>
      </c>
      <c r="D60" s="16">
        <f>'D Vall'!$C$50*(1/(1+'D Vall'!$C$10)^A60)*(('D Vall'!$C$12+1)^40)</f>
        <v>23684.684703726274</v>
      </c>
      <c r="E60" s="16">
        <f>IF('D Vall'!$C$8+1&gt;A60,D60,0)</f>
        <v>23684.684703726274</v>
      </c>
      <c r="F60" s="16">
        <f>'D Vall'!$C$46/(POWER(1+'D Vall'!$C$10,A60))</f>
        <v>2997.6413111997599</v>
      </c>
      <c r="G60" s="16">
        <f>IF('D Vall'!$C$8+1&gt;A60,F60,0)</f>
        <v>2997.6413111997599</v>
      </c>
      <c r="H60" s="16"/>
      <c r="J60" s="16"/>
      <c r="K60" s="16"/>
      <c r="L60" s="16"/>
      <c r="M60" s="16"/>
      <c r="Q60" s="16"/>
      <c r="R60" s="16"/>
    </row>
    <row r="61" spans="1:18" x14ac:dyDescent="0.25">
      <c r="A61">
        <v>58</v>
      </c>
      <c r="B61" s="16">
        <f>'D Vall'!$C$49*(1/(1+'D Vall'!$C$10)^A61)*(('D Vall'!$C$12+1)^40)</f>
        <v>24591.93461311546</v>
      </c>
      <c r="C61" s="16">
        <f>IF('D Vall'!$C$8+1&gt;A61,B61,0)</f>
        <v>24591.93461311546</v>
      </c>
      <c r="D61" s="16">
        <f>'D Vall'!$C$50*(1/(1+'D Vall'!$C$10)^A61)*(('D Vall'!$C$12+1)^40)</f>
        <v>22883.753336933602</v>
      </c>
      <c r="E61" s="16">
        <f>IF('D Vall'!$C$8+1&gt;A61,D61,0)</f>
        <v>22883.753336933602</v>
      </c>
      <c r="F61" s="16">
        <f>'D Vall'!$C$46/(POWER(1+'D Vall'!$C$10,A61))</f>
        <v>2896.2717982606378</v>
      </c>
      <c r="G61" s="16">
        <f>IF('D Vall'!$C$8+1&gt;A61,F61,0)</f>
        <v>2896.2717982606378</v>
      </c>
      <c r="H61" s="16"/>
      <c r="J61" s="16"/>
      <c r="K61" s="16"/>
      <c r="L61" s="16"/>
      <c r="M61" s="16"/>
      <c r="Q61" s="16"/>
      <c r="R61" s="16"/>
    </row>
    <row r="62" spans="1:18" x14ac:dyDescent="0.25">
      <c r="A62">
        <v>59</v>
      </c>
      <c r="B62" s="16">
        <f>'D Vall'!$C$49*(1/(1+'D Vall'!$C$10)^A62)*(('D Vall'!$C$12+1)^40)</f>
        <v>23760.323297696094</v>
      </c>
      <c r="C62" s="16">
        <f>IF('D Vall'!$C$8+1&gt;A62,B62,0)</f>
        <v>23760.323297696094</v>
      </c>
      <c r="D62" s="16">
        <f>'D Vall'!$C$50*(1/(1+'D Vall'!$C$10)^A62)*(('D Vall'!$C$12+1)^40)</f>
        <v>22109.906605732944</v>
      </c>
      <c r="E62" s="16">
        <f>IF('D Vall'!$C$8+1&gt;A62,D62,0)</f>
        <v>22109.906605732944</v>
      </c>
      <c r="F62" s="16">
        <f>'D Vall'!$C$46/(POWER(1+'D Vall'!$C$10,A62))</f>
        <v>2798.33023986535</v>
      </c>
      <c r="G62" s="16">
        <f>IF('D Vall'!$C$8+1&gt;A62,F62,0)</f>
        <v>2798.33023986535</v>
      </c>
      <c r="H62" s="16"/>
      <c r="J62" s="16"/>
      <c r="K62" s="16"/>
      <c r="L62" s="16"/>
      <c r="M62" s="16"/>
      <c r="Q62" s="16"/>
      <c r="R62" s="16"/>
    </row>
    <row r="63" spans="1:18" x14ac:dyDescent="0.25">
      <c r="A63">
        <v>60</v>
      </c>
      <c r="B63" s="16">
        <f>'D Vall'!$C$49*(1/(1+'D Vall'!$C$10)^A63)*(('D Vall'!$C$12+1)^40)</f>
        <v>22956.8341040542</v>
      </c>
      <c r="C63" s="16">
        <f>IF('D Vall'!$C$8+1&gt;A63,B63,0)</f>
        <v>22956.8341040542</v>
      </c>
      <c r="D63" s="16">
        <f>'D Vall'!$C$50*(1/(1+'D Vall'!$C$10)^A63)*(('D Vall'!$C$12+1)^40)</f>
        <v>21362.228604572898</v>
      </c>
      <c r="E63" s="16">
        <f>IF('D Vall'!$C$8+1&gt;A63,D63,0)</f>
        <v>21362.228604572898</v>
      </c>
      <c r="F63" s="16">
        <f>'D Vall'!$C$46/(POWER(1+'D Vall'!$C$10,A63))</f>
        <v>2703.7007148457492</v>
      </c>
      <c r="G63" s="16">
        <f>IF('D Vall'!$C$8+1&gt;A63,F63,0)</f>
        <v>2703.7007148457492</v>
      </c>
      <c r="H63" s="16"/>
      <c r="J63" s="16"/>
      <c r="K63" s="16"/>
      <c r="L63" s="16"/>
      <c r="M63" s="16"/>
      <c r="Q63" s="16"/>
      <c r="R63" s="16"/>
    </row>
    <row r="64" spans="1:18" x14ac:dyDescent="0.25">
      <c r="B64" s="16"/>
      <c r="C64" s="16">
        <f>SUM(C3:C63)</f>
        <v>3610207.3443254284</v>
      </c>
      <c r="D64" s="16"/>
      <c r="E64" s="16">
        <f>SUM(E3:E63)</f>
        <v>3359438.5989733632</v>
      </c>
      <c r="F64" s="16"/>
      <c r="G64" s="16">
        <f>SUM(G3:G63)</f>
        <v>531322.83671869419</v>
      </c>
      <c r="H64" s="16"/>
      <c r="J64" s="16"/>
      <c r="K64" s="16"/>
      <c r="L64" s="16"/>
      <c r="M64" s="16"/>
      <c r="Q64" s="16"/>
      <c r="R64" s="16"/>
    </row>
    <row r="65" spans="2:12" x14ac:dyDescent="0.25">
      <c r="B65" s="16"/>
      <c r="C65" s="16"/>
      <c r="D65" s="16"/>
      <c r="E65" s="16"/>
      <c r="F65" s="16"/>
      <c r="H65" s="16"/>
      <c r="J65" s="16"/>
      <c r="K65" s="16"/>
      <c r="L65" s="16"/>
    </row>
    <row r="66" spans="2:12" x14ac:dyDescent="0.25">
      <c r="F66" s="16"/>
      <c r="H66" s="16"/>
    </row>
    <row r="67" spans="2:12" x14ac:dyDescent="0.25">
      <c r="B67" s="16"/>
      <c r="C67" s="16"/>
      <c r="D67" s="16"/>
      <c r="E67" s="16"/>
      <c r="F67" s="16"/>
      <c r="H67" s="16"/>
      <c r="J67" s="16"/>
      <c r="K67" s="16"/>
      <c r="L67" s="16"/>
    </row>
    <row r="68" spans="2:12" x14ac:dyDescent="0.25">
      <c r="B68" s="16"/>
      <c r="C68" s="16"/>
      <c r="D68" s="16"/>
      <c r="E68" s="16"/>
      <c r="F68" s="16"/>
      <c r="J68" s="16"/>
      <c r="K68" s="16"/>
      <c r="L68" s="16"/>
    </row>
    <row r="69" spans="2:12" x14ac:dyDescent="0.25">
      <c r="B69" s="16"/>
      <c r="C69" s="16"/>
      <c r="D69" s="16"/>
      <c r="E69" s="16"/>
      <c r="F69" s="16"/>
      <c r="J69" s="16"/>
      <c r="K69" s="16"/>
      <c r="L69" s="16"/>
    </row>
    <row r="70" spans="2:12" x14ac:dyDescent="0.25">
      <c r="B70" s="16"/>
      <c r="C70" s="16"/>
      <c r="D70" s="16"/>
      <c r="E70" s="16"/>
      <c r="F70" s="16"/>
      <c r="J70" s="16"/>
      <c r="K70" s="16"/>
      <c r="L70" s="16"/>
    </row>
    <row r="71" spans="2:12" x14ac:dyDescent="0.25">
      <c r="B71" s="16"/>
      <c r="C71" s="16"/>
      <c r="D71" s="16"/>
      <c r="E71" s="16"/>
      <c r="F71" s="16"/>
      <c r="J71" s="16"/>
      <c r="K71" s="16"/>
      <c r="L71" s="16"/>
    </row>
    <row r="72" spans="2:12" x14ac:dyDescent="0.25">
      <c r="B72" s="16"/>
      <c r="C72" s="16"/>
      <c r="D72" s="16"/>
      <c r="E72" s="16"/>
      <c r="F72" s="16"/>
      <c r="J72" s="16"/>
      <c r="K72" s="16"/>
      <c r="L72" s="16"/>
    </row>
    <row r="73" spans="2:12" x14ac:dyDescent="0.25">
      <c r="B73" s="16"/>
      <c r="C73" s="16"/>
      <c r="D73" s="16"/>
      <c r="E73" s="16"/>
      <c r="F73" s="16"/>
      <c r="J73" s="16"/>
      <c r="K73" s="16"/>
      <c r="L73" s="16"/>
    </row>
    <row r="74" spans="2:12" x14ac:dyDescent="0.25">
      <c r="B74" s="16"/>
      <c r="C74" s="16"/>
      <c r="D74" s="16"/>
      <c r="E74" s="16"/>
      <c r="F74" s="16"/>
      <c r="J74" s="16"/>
      <c r="K74" s="16"/>
      <c r="L74" s="16"/>
    </row>
    <row r="75" spans="2:12" x14ac:dyDescent="0.25">
      <c r="B75" s="16"/>
      <c r="C75" s="16"/>
      <c r="D75" s="16"/>
      <c r="E75" s="16"/>
      <c r="F75" s="16"/>
      <c r="J75" s="16"/>
      <c r="K75" s="16"/>
      <c r="L75" s="16"/>
    </row>
    <row r="76" spans="2:12" x14ac:dyDescent="0.25">
      <c r="B76" s="16"/>
      <c r="C76" s="16"/>
      <c r="D76" s="16"/>
      <c r="E76" s="16"/>
      <c r="F76" s="16"/>
      <c r="J76" s="16"/>
      <c r="K76" s="16"/>
      <c r="L76" s="16"/>
    </row>
    <row r="77" spans="2:12" x14ac:dyDescent="0.25">
      <c r="B77" s="16"/>
      <c r="C77" s="16"/>
      <c r="D77" s="16"/>
      <c r="E77" s="16"/>
      <c r="F77" s="16"/>
      <c r="J77" s="16"/>
      <c r="K77" s="16"/>
      <c r="L77" s="16"/>
    </row>
    <row r="78" spans="2:12" x14ac:dyDescent="0.25">
      <c r="B78" s="16"/>
      <c r="C78" s="16"/>
      <c r="D78" s="16"/>
      <c r="E78" s="16"/>
      <c r="F78" s="16"/>
      <c r="J78" s="16"/>
      <c r="K78" s="16"/>
      <c r="L78" s="16"/>
    </row>
    <row r="79" spans="2:12" x14ac:dyDescent="0.25">
      <c r="B79" s="16"/>
      <c r="C79" s="16"/>
      <c r="D79" s="16"/>
      <c r="E79" s="16"/>
      <c r="F79" s="16"/>
      <c r="J79" s="16"/>
      <c r="K79" s="16"/>
      <c r="L79" s="16"/>
    </row>
    <row r="80" spans="2:12" x14ac:dyDescent="0.25">
      <c r="B80" s="16"/>
      <c r="C80" s="16"/>
      <c r="D80" s="16"/>
      <c r="E80" s="16"/>
      <c r="F80" s="16"/>
      <c r="J80" s="16"/>
      <c r="K80" s="16"/>
      <c r="L80" s="16"/>
    </row>
    <row r="81" spans="2:12" x14ac:dyDescent="0.25">
      <c r="B81" s="16"/>
      <c r="C81" s="16"/>
      <c r="D81" s="16"/>
      <c r="E81" s="16"/>
      <c r="F81" s="16"/>
      <c r="J81" s="16"/>
      <c r="K81" s="16"/>
      <c r="L81" s="16"/>
    </row>
    <row r="82" spans="2:12" x14ac:dyDescent="0.25">
      <c r="B82" s="16"/>
      <c r="C82" s="16"/>
      <c r="D82" s="16"/>
      <c r="E82" s="16"/>
      <c r="F82" s="16"/>
      <c r="J82" s="16"/>
      <c r="K82" s="16"/>
      <c r="L82" s="16"/>
    </row>
    <row r="83" spans="2:12" x14ac:dyDescent="0.25">
      <c r="B83" s="16"/>
      <c r="C83" s="16"/>
      <c r="D83" s="16"/>
      <c r="E83" s="16"/>
      <c r="F83" s="16"/>
      <c r="J83" s="16"/>
      <c r="K83" s="16"/>
      <c r="L83" s="16"/>
    </row>
    <row r="84" spans="2:12" x14ac:dyDescent="0.25">
      <c r="B84" s="16"/>
      <c r="C84" s="16"/>
      <c r="D84" s="16"/>
      <c r="E84" s="16"/>
      <c r="F84" s="16"/>
      <c r="J84" s="16"/>
      <c r="K84" s="16"/>
      <c r="L84" s="16"/>
    </row>
    <row r="85" spans="2:12" x14ac:dyDescent="0.25">
      <c r="B85" s="16"/>
      <c r="C85" s="16"/>
      <c r="D85" s="16"/>
      <c r="E85" s="16"/>
      <c r="F85" s="16"/>
      <c r="J85" s="16"/>
      <c r="K85" s="16"/>
      <c r="L85" s="16"/>
    </row>
    <row r="86" spans="2:12" x14ac:dyDescent="0.25">
      <c r="B86" s="16"/>
      <c r="C86" s="16"/>
      <c r="D86" s="16"/>
      <c r="E86" s="16"/>
      <c r="F86" s="16"/>
      <c r="J86" s="16"/>
      <c r="K86" s="16"/>
      <c r="L86" s="16"/>
    </row>
    <row r="87" spans="2:12" x14ac:dyDescent="0.25">
      <c r="B87" s="16"/>
      <c r="C87" s="16"/>
      <c r="D87" s="16"/>
      <c r="E87" s="16"/>
      <c r="F87" s="16"/>
      <c r="J87" s="16"/>
      <c r="K87" s="16"/>
      <c r="L87" s="16"/>
    </row>
    <row r="88" spans="2:12" x14ac:dyDescent="0.25">
      <c r="B88" s="16"/>
      <c r="C88" s="16"/>
      <c r="D88" s="16"/>
      <c r="E88" s="16"/>
      <c r="F88" s="16"/>
      <c r="J88" s="16"/>
      <c r="K88" s="16"/>
      <c r="L88" s="16"/>
    </row>
    <row r="89" spans="2:12" x14ac:dyDescent="0.25">
      <c r="B89" s="16"/>
      <c r="C89" s="16"/>
      <c r="D89" s="16"/>
      <c r="E89" s="16"/>
      <c r="J89" s="16"/>
      <c r="K89" s="16"/>
      <c r="L89" s="16"/>
    </row>
    <row r="90" spans="2:12" x14ac:dyDescent="0.25">
      <c r="B90" s="16"/>
      <c r="C90" s="16"/>
      <c r="D90" s="16"/>
      <c r="E90" s="16"/>
      <c r="J90" s="16"/>
      <c r="K90" s="16"/>
      <c r="L90" s="16"/>
    </row>
    <row r="91" spans="2:12" x14ac:dyDescent="0.25">
      <c r="B91" s="16"/>
      <c r="C91" s="16"/>
      <c r="D91" s="16"/>
      <c r="E91" s="16"/>
      <c r="J91" s="16"/>
      <c r="K91" s="16"/>
      <c r="L91" s="16"/>
    </row>
    <row r="92" spans="2:12" x14ac:dyDescent="0.25">
      <c r="B92" s="16"/>
      <c r="C92" s="16"/>
      <c r="D92" s="16"/>
      <c r="E92" s="16"/>
      <c r="J92" s="16"/>
      <c r="K92" s="16"/>
      <c r="L92" s="16"/>
    </row>
    <row r="93" spans="2:12" x14ac:dyDescent="0.25">
      <c r="B93" s="16"/>
      <c r="C93" s="16"/>
      <c r="D93" s="16"/>
      <c r="E93" s="16"/>
      <c r="J93" s="16"/>
      <c r="K93" s="16"/>
      <c r="L93" s="16"/>
    </row>
    <row r="94" spans="2:12" x14ac:dyDescent="0.25">
      <c r="B94" s="16"/>
      <c r="C94" s="16"/>
      <c r="D94" s="16"/>
      <c r="E94" s="16"/>
      <c r="J94" s="16"/>
      <c r="K94" s="16"/>
      <c r="L94" s="16"/>
    </row>
    <row r="95" spans="2:12" x14ac:dyDescent="0.25">
      <c r="B95" s="16"/>
      <c r="C95" s="16"/>
      <c r="D95" s="16"/>
      <c r="E95" s="16"/>
      <c r="J95" s="16"/>
      <c r="K95" s="16"/>
      <c r="L95" s="16"/>
    </row>
    <row r="96" spans="2:12" x14ac:dyDescent="0.25">
      <c r="B96" s="16"/>
      <c r="C96" s="16"/>
      <c r="D96" s="16"/>
      <c r="E96" s="16"/>
      <c r="J96" s="16"/>
      <c r="K96" s="16"/>
      <c r="L96" s="16"/>
    </row>
    <row r="97" spans="2:12" x14ac:dyDescent="0.25">
      <c r="B97" s="16"/>
      <c r="C97" s="16"/>
      <c r="D97" s="16"/>
      <c r="E97" s="16"/>
      <c r="J97" s="16"/>
      <c r="K97" s="16"/>
      <c r="L97" s="16"/>
    </row>
    <row r="98" spans="2:12" x14ac:dyDescent="0.25">
      <c r="B98" s="16"/>
      <c r="C98" s="16"/>
      <c r="D98" s="16"/>
      <c r="E98" s="16"/>
      <c r="J98" s="16"/>
      <c r="K98" s="16"/>
      <c r="L98" s="16"/>
    </row>
    <row r="99" spans="2:12" x14ac:dyDescent="0.25">
      <c r="B99" s="16"/>
      <c r="C99" s="16"/>
      <c r="D99" s="16"/>
      <c r="E99" s="16"/>
      <c r="J99" s="16"/>
      <c r="K99" s="16"/>
      <c r="L99" s="16"/>
    </row>
    <row r="100" spans="2:12" x14ac:dyDescent="0.25">
      <c r="B100" s="16"/>
      <c r="C100" s="16"/>
      <c r="D100" s="16"/>
      <c r="E100" s="16"/>
      <c r="J100" s="16"/>
      <c r="K100" s="16"/>
      <c r="L100" s="16"/>
    </row>
    <row r="101" spans="2:12" x14ac:dyDescent="0.25">
      <c r="B101" s="16"/>
      <c r="C101" s="16"/>
      <c r="D101" s="16"/>
      <c r="E101" s="16"/>
      <c r="J101" s="16"/>
      <c r="K101" s="16"/>
      <c r="L101" s="16"/>
    </row>
    <row r="102" spans="2:12" x14ac:dyDescent="0.25">
      <c r="B102" s="16"/>
      <c r="C102" s="16"/>
      <c r="D102" s="16"/>
      <c r="E102" s="16"/>
      <c r="J102" s="16"/>
      <c r="K102" s="16"/>
      <c r="L102" s="16"/>
    </row>
    <row r="103" spans="2:12" x14ac:dyDescent="0.25">
      <c r="B103" s="16"/>
      <c r="C103" s="16"/>
      <c r="D103" s="16"/>
      <c r="E103" s="16"/>
      <c r="J103" s="16"/>
      <c r="K103" s="16"/>
      <c r="L103" s="16"/>
    </row>
    <row r="104" spans="2:12" x14ac:dyDescent="0.25">
      <c r="B104" s="16"/>
      <c r="C104" s="16"/>
      <c r="D104" s="16"/>
      <c r="E104" s="16"/>
      <c r="J104" s="16"/>
      <c r="K104" s="16"/>
      <c r="L104" s="16"/>
    </row>
    <row r="105" spans="2:12" x14ac:dyDescent="0.25">
      <c r="B105" s="16"/>
      <c r="C105" s="16"/>
      <c r="D105" s="16"/>
      <c r="E105" s="16"/>
      <c r="J105" s="16"/>
      <c r="K105" s="16"/>
      <c r="L105" s="16"/>
    </row>
    <row r="106" spans="2:12" x14ac:dyDescent="0.25">
      <c r="B106" s="16"/>
      <c r="C106" s="16"/>
      <c r="D106" s="16"/>
      <c r="E106" s="16"/>
      <c r="J106" s="16"/>
      <c r="K106" s="16"/>
      <c r="L106" s="16"/>
    </row>
    <row r="107" spans="2:12" x14ac:dyDescent="0.25">
      <c r="B107" s="16"/>
      <c r="C107" s="16"/>
      <c r="D107" s="16"/>
      <c r="E107" s="16"/>
      <c r="J107" s="16"/>
      <c r="K107" s="16"/>
      <c r="L107" s="16"/>
    </row>
    <row r="108" spans="2:12" x14ac:dyDescent="0.25">
      <c r="B108" s="16"/>
      <c r="C108" s="16"/>
      <c r="D108" s="16"/>
      <c r="E108" s="16"/>
      <c r="J108" s="16"/>
      <c r="K108" s="16"/>
      <c r="L108" s="16"/>
    </row>
    <row r="109" spans="2:12" x14ac:dyDescent="0.25">
      <c r="B109" s="16"/>
    </row>
    <row r="110" spans="2:12" x14ac:dyDescent="0.25">
      <c r="B110" s="16"/>
    </row>
    <row r="111" spans="2:12" x14ac:dyDescent="0.25">
      <c r="B111" s="16"/>
    </row>
    <row r="112" spans="2:12" x14ac:dyDescent="0.25">
      <c r="B112" s="16"/>
    </row>
    <row r="113" spans="2:2" x14ac:dyDescent="0.25">
      <c r="B113" s="16"/>
    </row>
    <row r="114" spans="2:2" x14ac:dyDescent="0.25">
      <c r="B114" s="16"/>
    </row>
    <row r="115" spans="2:2" x14ac:dyDescent="0.25">
      <c r="B115" s="16"/>
    </row>
    <row r="116" spans="2:2" x14ac:dyDescent="0.25">
      <c r="B116" s="16"/>
    </row>
    <row r="117" spans="2:2" x14ac:dyDescent="0.25">
      <c r="B117" s="16"/>
    </row>
    <row r="118" spans="2:2" x14ac:dyDescent="0.25">
      <c r="B118" s="16"/>
    </row>
    <row r="119" spans="2:2" x14ac:dyDescent="0.25">
      <c r="B119" s="16"/>
    </row>
    <row r="120" spans="2:2" x14ac:dyDescent="0.25">
      <c r="B120" s="16"/>
    </row>
    <row r="121" spans="2:2" x14ac:dyDescent="0.25">
      <c r="B121" s="16"/>
    </row>
    <row r="122" spans="2:2" x14ac:dyDescent="0.25">
      <c r="B122" s="16"/>
    </row>
    <row r="123" spans="2:2" x14ac:dyDescent="0.25">
      <c r="B123" s="16"/>
    </row>
    <row r="124" spans="2:2" x14ac:dyDescent="0.25">
      <c r="B124" s="16"/>
    </row>
    <row r="125" spans="2:2" x14ac:dyDescent="0.25">
      <c r="B125" s="16"/>
    </row>
    <row r="126" spans="2:2" x14ac:dyDescent="0.25">
      <c r="B126" s="16"/>
    </row>
    <row r="127" spans="2:2" x14ac:dyDescent="0.25">
      <c r="B127" s="16"/>
    </row>
    <row r="128" spans="2:2" x14ac:dyDescent="0.25">
      <c r="B128" s="16"/>
    </row>
    <row r="129" spans="2:2" x14ac:dyDescent="0.25">
      <c r="B129" s="16"/>
    </row>
    <row r="130" spans="2:2" x14ac:dyDescent="0.25">
      <c r="B130" s="16"/>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104"/>
  <sheetViews>
    <sheetView workbookViewId="0">
      <selection activeCell="B47" sqref="B47"/>
    </sheetView>
  </sheetViews>
  <sheetFormatPr defaultRowHeight="12.5" x14ac:dyDescent="0.25"/>
  <cols>
    <col min="2" max="2" width="12.54296875" bestFit="1" customWidth="1"/>
    <col min="3" max="3" width="10.7265625" customWidth="1"/>
    <col min="5" max="5" width="11.1796875" customWidth="1"/>
  </cols>
  <sheetData>
    <row r="1" spans="1:5" x14ac:dyDescent="0.25">
      <c r="C1" t="s">
        <v>4</v>
      </c>
    </row>
    <row r="2" spans="1:5" x14ac:dyDescent="0.25">
      <c r="A2" t="s">
        <v>14</v>
      </c>
      <c r="B2" t="s">
        <v>4</v>
      </c>
      <c r="C2" t="s">
        <v>22</v>
      </c>
    </row>
    <row r="3" spans="1:5" x14ac:dyDescent="0.25">
      <c r="A3">
        <v>0</v>
      </c>
      <c r="C3" s="16"/>
      <c r="E3" s="16"/>
    </row>
    <row r="4" spans="1:5" x14ac:dyDescent="0.25">
      <c r="A4">
        <v>1</v>
      </c>
      <c r="B4" s="16">
        <f>'E Förvärv'!$C$44*(1/(1+'E Förvärv'!$C$10)^A4)*(('E Förvärv'!$C$12+1)^NuvFörvärv!A4)</f>
        <v>86522.591850537516</v>
      </c>
      <c r="C4" s="16">
        <f>IF('E Förvärv'!$C$8+1&gt;A4,B4,0)</f>
        <v>86522.591850537516</v>
      </c>
      <c r="E4" s="16"/>
    </row>
    <row r="5" spans="1:5" x14ac:dyDescent="0.25">
      <c r="A5">
        <v>2</v>
      </c>
      <c r="B5" s="16">
        <f>'E Förvärv'!$C$44*(1/(1+'E Förvärv'!$C$10)^A5)*(('E Förvärv'!$C$12+1)^NuvFörvärv!A5)</f>
        <v>84558.069233641276</v>
      </c>
      <c r="C5" s="16">
        <f>IF('E Förvärv'!$C$8+1&gt;A5,B5,0)</f>
        <v>84558.069233641276</v>
      </c>
      <c r="E5" s="16"/>
    </row>
    <row r="6" spans="1:5" x14ac:dyDescent="0.25">
      <c r="A6">
        <v>3</v>
      </c>
      <c r="B6" s="16">
        <f>'E Förvärv'!$C$44*(1/(1+'E Förvärv'!$C$10)^A6)*(('E Förvärv'!$C$12+1)^NuvFörvärv!A6)</f>
        <v>82638.151719640737</v>
      </c>
      <c r="C6" s="16">
        <f>IF('E Förvärv'!$C$8+1&gt;A6,B6,0)</f>
        <v>82638.151719640737</v>
      </c>
      <c r="E6" s="16"/>
    </row>
    <row r="7" spans="1:5" x14ac:dyDescent="0.25">
      <c r="A7">
        <v>4</v>
      </c>
      <c r="B7" s="16">
        <f>'E Förvärv'!$C$44*(1/(1+'E Förvärv'!$C$10)^A7)*(('E Förvärv'!$C$12+1)^NuvFörvärv!A7)</f>
        <v>80761.826535668239</v>
      </c>
      <c r="C7" s="16">
        <f>IF('E Förvärv'!$C$8+1&gt;A7,B7,0)</f>
        <v>80761.826535668239</v>
      </c>
      <c r="E7" s="16"/>
    </row>
    <row r="8" spans="1:5" x14ac:dyDescent="0.25">
      <c r="A8">
        <v>5</v>
      </c>
      <c r="B8" s="16">
        <f>'E Förvärv'!$C$44*(1/(1+'E Förvärv'!$C$10)^A8)*(('E Förvärv'!$C$12+1)^NuvFörvärv!A8)</f>
        <v>78928.103904182062</v>
      </c>
      <c r="C8" s="16">
        <f>IF('E Förvärv'!$C$8+1&gt;A8,B8,0)</f>
        <v>78928.103904182062</v>
      </c>
      <c r="E8" s="16"/>
    </row>
    <row r="9" spans="1:5" x14ac:dyDescent="0.25">
      <c r="A9">
        <v>6</v>
      </c>
      <c r="B9" s="16">
        <f>'E Förvärv'!$C$44*(1/(1+'E Förvärv'!$C$10)^A9)*(('E Förvärv'!$C$12+1)^NuvFörvärv!A9)</f>
        <v>77136.016520850389</v>
      </c>
      <c r="C9" s="16">
        <f>IF('E Förvärv'!$C$8+1&gt;A9,B9,0)</f>
        <v>77136.016520850389</v>
      </c>
      <c r="E9" s="16"/>
    </row>
    <row r="10" spans="1:5" x14ac:dyDescent="0.25">
      <c r="A10">
        <v>7</v>
      </c>
      <c r="B10" s="16">
        <f>'E Förvärv'!$C$44*(1/(1+'E Förvärv'!$C$10)^A10)*(('E Förvärv'!$C$12+1)^NuvFörvärv!A10)</f>
        <v>75384.619044290026</v>
      </c>
      <c r="C10" s="16">
        <f>IF('E Förvärv'!$C$8+1&gt;A10,B10,0)</f>
        <v>75384.619044290026</v>
      </c>
      <c r="E10" s="16"/>
    </row>
    <row r="11" spans="1:5" x14ac:dyDescent="0.25">
      <c r="A11">
        <v>8</v>
      </c>
      <c r="B11" s="16">
        <f>'E Förvärv'!$C$44*(1/(1+'E Förvärv'!$C$10)^A11)*(('E Förvärv'!$C$12+1)^NuvFörvärv!A11)</f>
        <v>73672.987597390718</v>
      </c>
      <c r="C11" s="16">
        <f>IF('E Förvärv'!$C$8+1&gt;A11,B11,0)</f>
        <v>73672.987597390718</v>
      </c>
      <c r="E11" s="16"/>
    </row>
    <row r="12" spans="1:5" x14ac:dyDescent="0.25">
      <c r="A12">
        <v>9</v>
      </c>
      <c r="B12" s="16">
        <f>'E Förvärv'!$C$44*(1/(1+'E Förvärv'!$C$10)^A12)*(('E Förvärv'!$C$12+1)^NuvFörvärv!A12)</f>
        <v>72000.219279962053</v>
      </c>
      <c r="C12" s="16">
        <f>IF('E Förvärv'!$C$8+1&gt;A12,B12,0)</f>
        <v>72000.219279962053</v>
      </c>
      <c r="E12" s="16"/>
    </row>
    <row r="13" spans="1:5" x14ac:dyDescent="0.25">
      <c r="A13">
        <v>10</v>
      </c>
      <c r="B13" s="16">
        <f>'E Förvärv'!$C$44*(1/(1+'E Förvärv'!$C$10)^A13)*(('E Förvärv'!$C$12+1)^NuvFörvärv!A13)</f>
        <v>70365.431692446014</v>
      </c>
      <c r="C13" s="16">
        <f>IF('E Förvärv'!$C$8+1&gt;A13,B13,0)</f>
        <v>70365.431692446014</v>
      </c>
      <c r="E13" s="16"/>
    </row>
    <row r="14" spans="1:5" x14ac:dyDescent="0.25">
      <c r="A14">
        <v>11</v>
      </c>
      <c r="B14" s="16">
        <f>'E Förvärv'!$C$44*(1/(1+'E Förvärv'!$C$10)^A14)*(('E Förvärv'!$C$12+1)^NuvFörvärv!A14)</f>
        <v>68767.762470443631</v>
      </c>
      <c r="C14" s="16">
        <f>IF('E Förvärv'!$C$8+1&gt;A14,B14,0)</f>
        <v>68767.762470443631</v>
      </c>
      <c r="E14" s="16"/>
    </row>
    <row r="15" spans="1:5" x14ac:dyDescent="0.25">
      <c r="A15">
        <v>12</v>
      </c>
      <c r="B15" s="16">
        <f>'E Förvärv'!$C$44*(1/(1+'E Förvärv'!$C$10)^A15)*(('E Förvärv'!$C$12+1)^NuvFörvärv!A15)</f>
        <v>67206.368829810366</v>
      </c>
      <c r="C15" s="16">
        <f>IF('E Förvärv'!$C$8+1&gt;A15,B15,0)</f>
        <v>67206.368829810366</v>
      </c>
      <c r="E15" s="16"/>
    </row>
    <row r="16" spans="1:5" x14ac:dyDescent="0.25">
      <c r="A16">
        <v>13</v>
      </c>
      <c r="B16" s="16">
        <f>'E Förvärv'!$C$44*(1/(1+'E Förvärv'!$C$10)^A16)*(('E Förvärv'!$C$12+1)^NuvFörvärv!A16)</f>
        <v>65680.427122080393</v>
      </c>
      <c r="C16" s="16">
        <f>IF('E Förvärv'!$C$8+1&gt;A16,B16,0)</f>
        <v>65680.427122080393</v>
      </c>
      <c r="E16" s="16"/>
    </row>
    <row r="17" spans="1:5" x14ac:dyDescent="0.25">
      <c r="A17">
        <v>14</v>
      </c>
      <c r="B17" s="16">
        <f>'E Förvärv'!$C$44*(1/(1+'E Förvärv'!$C$10)^A17)*(('E Förvärv'!$C$12+1)^NuvFörvärv!A17)</f>
        <v>64189.132399984839</v>
      </c>
      <c r="C17" s="16">
        <f>IF('E Förvärv'!$C$8+1&gt;A17,B17,0)</f>
        <v>64189.132399984839</v>
      </c>
      <c r="E17" s="16"/>
    </row>
    <row r="18" spans="1:5" x14ac:dyDescent="0.25">
      <c r="A18">
        <v>15</v>
      </c>
      <c r="B18" s="16">
        <f>'E Förvärv'!$C$44*(1/(1+'E Förvärv'!$C$10)^A18)*(('E Förvärv'!$C$12+1)^NuvFörvärv!A18)</f>
        <v>62731.697992835456</v>
      </c>
      <c r="C18" s="16">
        <f>IF('E Förvärv'!$C$8+1&gt;A18,B18,0)</f>
        <v>62731.697992835456</v>
      </c>
      <c r="E18" s="16"/>
    </row>
    <row r="19" spans="1:5" x14ac:dyDescent="0.25">
      <c r="A19">
        <v>16</v>
      </c>
      <c r="B19" s="16">
        <f>'E Förvärv'!$C$44*(1/(1+'E Förvärv'!$C$10)^A19)*(('E Förvärv'!$C$12+1)^NuvFörvärv!A19)</f>
        <v>61307.355091548874</v>
      </c>
      <c r="C19" s="16">
        <f>IF('E Förvärv'!$C$8+1&gt;A19,B19,0)</f>
        <v>61307.355091548874</v>
      </c>
      <c r="E19" s="16"/>
    </row>
    <row r="20" spans="1:5" x14ac:dyDescent="0.25">
      <c r="A20">
        <v>17</v>
      </c>
      <c r="B20" s="16">
        <f>'E Förvärv'!$C$44*(1/(1+'E Förvärv'!$C$10)^A20)*(('E Förvärv'!$C$12+1)^NuvFörvärv!A20)</f>
        <v>59915.352343093422</v>
      </c>
      <c r="C20" s="16">
        <f>IF('E Förvärv'!$C$8+1&gt;A20,B20,0)</f>
        <v>59915.352343093422</v>
      </c>
      <c r="E20" s="16"/>
    </row>
    <row r="21" spans="1:5" x14ac:dyDescent="0.25">
      <c r="A21">
        <v>18</v>
      </c>
      <c r="B21" s="16">
        <f>'E Förvärv'!$C$44*(1/(1+'E Förvärv'!$C$10)^A21)*(('E Förvärv'!$C$12+1)^NuvFörvärv!A21)</f>
        <v>58554.955454143965</v>
      </c>
      <c r="C21" s="16">
        <f>IF('E Förvärv'!$C$8+1&gt;A21,B21,0)</f>
        <v>58554.955454143965</v>
      </c>
      <c r="E21" s="16"/>
    </row>
    <row r="22" spans="1:5" x14ac:dyDescent="0.25">
      <c r="A22">
        <v>19</v>
      </c>
      <c r="B22" s="16">
        <f>'E Förvärv'!$C$44*(1/(1+'E Förvärv'!$C$10)^A22)*(('E Förvärv'!$C$12+1)^NuvFörvärv!A22)</f>
        <v>57225.446803735882</v>
      </c>
      <c r="C22" s="16">
        <f>IF('E Förvärv'!$C$8+1&gt;A22,B22,0)</f>
        <v>57225.446803735882</v>
      </c>
      <c r="E22" s="16"/>
    </row>
    <row r="23" spans="1:5" x14ac:dyDescent="0.25">
      <c r="A23">
        <v>20</v>
      </c>
      <c r="B23" s="16">
        <f>'E Förvärv'!$C$44*(1/(1+'E Förvärv'!$C$10)^A23)*(('E Förvärv'!$C$12+1)^NuvFörvärv!A23)</f>
        <v>55926.125064713859</v>
      </c>
      <c r="C23" s="16">
        <f>IF('E Förvärv'!$C$8+1&gt;A23,B23,0)</f>
        <v>55926.125064713859</v>
      </c>
      <c r="E23" s="16"/>
    </row>
    <row r="24" spans="1:5" x14ac:dyDescent="0.25">
      <c r="A24">
        <v>21</v>
      </c>
      <c r="B24" s="16">
        <f>'E Förvärv'!$C$44*(1/(1+'E Förvärv'!$C$10)^A24)*(('E Förvärv'!$C$12+1)^NuvFörvärv!A24)</f>
        <v>54656.304833775932</v>
      </c>
      <c r="C24" s="16">
        <f>IF('E Förvärv'!$C$8+1&gt;A24,B24,0)</f>
        <v>54656.304833775932</v>
      </c>
      <c r="E24" s="16"/>
    </row>
    <row r="25" spans="1:5" x14ac:dyDescent="0.25">
      <c r="A25">
        <v>22</v>
      </c>
      <c r="B25" s="16">
        <f>'E Förvärv'!$C$44*(1/(1+'E Förvärv'!$C$10)^A25)*(('E Förvärv'!$C$12+1)^NuvFörvärv!A25)</f>
        <v>53415.316269917254</v>
      </c>
      <c r="C25" s="16">
        <f>IF('E Förvärv'!$C$8+1&gt;A25,B25,0)</f>
        <v>53415.316269917254</v>
      </c>
      <c r="E25" s="16"/>
    </row>
    <row r="26" spans="1:5" x14ac:dyDescent="0.25">
      <c r="A26">
        <v>23</v>
      </c>
      <c r="B26" s="16">
        <f>'E Förvärv'!$C$44*(1/(1+'E Förvärv'!$C$10)^A26)*(('E Förvärv'!$C$12+1)^NuvFörvärv!A26)</f>
        <v>52202.504741083394</v>
      </c>
      <c r="C26" s="16">
        <f>IF('E Förvärv'!$C$8+1&gt;A26,B26,0)</f>
        <v>52202.504741083394</v>
      </c>
      <c r="E26" s="16"/>
    </row>
    <row r="27" spans="1:5" x14ac:dyDescent="0.25">
      <c r="A27">
        <v>24</v>
      </c>
      <c r="B27" s="16">
        <f>'E Förvärv'!$C$44*(1/(1+'E Förvärv'!$C$10)^A27)*(('E Förvärv'!$C$12+1)^NuvFörvärv!A27)</f>
        <v>51017.230478846257</v>
      </c>
      <c r="C27" s="16">
        <f>IF('E Förvärv'!$C$8+1&gt;A27,B27,0)</f>
        <v>51017.230478846257</v>
      </c>
      <c r="E27" s="16"/>
    </row>
    <row r="28" spans="1:5" x14ac:dyDescent="0.25">
      <c r="A28">
        <v>25</v>
      </c>
      <c r="B28" s="16">
        <f>'E Förvärv'!$C$44*(1/(1+'E Förvärv'!$C$10)^A28)*(('E Förvärv'!$C$12+1)^NuvFörvärv!A28)</f>
        <v>49858.868240920761</v>
      </c>
      <c r="C28" s="16">
        <f>IF('E Förvärv'!$C$8+1&gt;A28,B28,0)</f>
        <v>49858.868240920761</v>
      </c>
      <c r="E28" s="16"/>
    </row>
    <row r="29" spans="1:5" x14ac:dyDescent="0.25">
      <c r="A29">
        <v>26</v>
      </c>
      <c r="B29" s="16">
        <f>'E Förvärv'!$C$44*(1/(1+'E Förvärv'!$C$10)^A29)*(('E Förvärv'!$C$12+1)^NuvFörvärv!A29)</f>
        <v>48726.806981344307</v>
      </c>
      <c r="C29" s="16">
        <f>IF('E Förvärv'!$C$8+1&gt;A29,B29,0)</f>
        <v>48726.806981344307</v>
      </c>
      <c r="E29" s="16"/>
    </row>
    <row r="30" spans="1:5" x14ac:dyDescent="0.25">
      <c r="A30">
        <v>27</v>
      </c>
      <c r="B30" s="16">
        <f>'E Förvärv'!$C$44*(1/(1+'E Förvärv'!$C$10)^A30)*(('E Förvärv'!$C$12+1)^NuvFörvärv!A30)</f>
        <v>47620.449528144694</v>
      </c>
      <c r="C30" s="16">
        <f>IF('E Förvärv'!$C$8+1&gt;A30,B30,0)</f>
        <v>47620.449528144694</v>
      </c>
      <c r="E30" s="16"/>
    </row>
    <row r="31" spans="1:5" x14ac:dyDescent="0.25">
      <c r="A31">
        <v>28</v>
      </c>
      <c r="B31" s="16">
        <f>'E Förvärv'!$C$44*(1/(1+'E Förvärv'!$C$10)^A31)*(('E Förvärv'!$C$12+1)^NuvFörvärv!A31)</f>
        <v>46539.212268326926</v>
      </c>
      <c r="C31" s="16">
        <f>IF('E Förvärv'!$C$8+1&gt;A31,B31,0)</f>
        <v>46539.212268326926</v>
      </c>
      <c r="E31" s="16"/>
    </row>
    <row r="32" spans="1:5" x14ac:dyDescent="0.25">
      <c r="A32">
        <v>29</v>
      </c>
      <c r="B32" s="16">
        <f>'E Förvärv'!$C$44*(1/(1+'E Förvärv'!$C$10)^A32)*(('E Förvärv'!$C$12+1)^NuvFörvärv!A32)</f>
        <v>45482.524840012273</v>
      </c>
      <c r="C32" s="16">
        <f>IF('E Förvärv'!$C$8+1&gt;A32,B32,0)</f>
        <v>45482.524840012273</v>
      </c>
      <c r="E32" s="16"/>
    </row>
    <row r="33" spans="1:5" x14ac:dyDescent="0.25">
      <c r="A33">
        <v>30</v>
      </c>
      <c r="B33" s="16">
        <f>'E Förvärv'!$C$44*(1/(1+'E Förvärv'!$C$10)^A33)*(('E Förvärv'!$C$12+1)^NuvFörvärv!A33)</f>
        <v>44449.829831567549</v>
      </c>
      <c r="C33" s="16">
        <f>IF('E Förvärv'!$C$8+1&gt;A33,B33,0)</f>
        <v>44449.829831567549</v>
      </c>
      <c r="E33" s="16"/>
    </row>
    <row r="34" spans="1:5" x14ac:dyDescent="0.25">
      <c r="A34">
        <v>31</v>
      </c>
      <c r="B34" s="16">
        <f>'E Förvärv'!$C$44*(1/(1+'E Förvärv'!$C$10)^A34)*(('E Förvärv'!$C$12+1)^NuvFörvärv!A34)</f>
        <v>43440.582487565785</v>
      </c>
      <c r="C34" s="16">
        <f>IF('E Förvärv'!$C$8+1&gt;A34,B34,0)</f>
        <v>43440.582487565785</v>
      </c>
      <c r="E34" s="16"/>
    </row>
    <row r="35" spans="1:5" x14ac:dyDescent="0.25">
      <c r="A35">
        <v>32</v>
      </c>
      <c r="B35" s="16">
        <f>'E Förvärv'!$C$44*(1/(1+'E Förvärv'!$C$10)^A35)*(('E Förvärv'!$C$12+1)^NuvFörvärv!A35)</f>
        <v>42454.250421423007</v>
      </c>
      <c r="C35" s="16">
        <f>IF('E Förvärv'!$C$8+1&gt;A35,B35,0)</f>
        <v>42454.250421423007</v>
      </c>
      <c r="E35" s="16"/>
    </row>
    <row r="36" spans="1:5" x14ac:dyDescent="0.25">
      <c r="A36">
        <v>33</v>
      </c>
      <c r="B36" s="16">
        <f>'E Förvärv'!$C$44*(1/(1+'E Förvärv'!$C$10)^A36)*(('E Förvärv'!$C$12+1)^NuvFörvärv!A36)</f>
        <v>41490.313334559782</v>
      </c>
      <c r="C36" s="16">
        <f>IF('E Förvärv'!$C$8+1&gt;A36,B36,0)</f>
        <v>41490.313334559782</v>
      </c>
      <c r="E36" s="16"/>
    </row>
    <row r="37" spans="1:5" x14ac:dyDescent="0.25">
      <c r="A37">
        <v>34</v>
      </c>
      <c r="B37" s="16">
        <f>'E Förvärv'!$C$44*(1/(1+'E Förvärv'!$C$10)^A37)*(('E Förvärv'!$C$12+1)^NuvFörvärv!A37)</f>
        <v>40548.262741939347</v>
      </c>
      <c r="C37" s="16">
        <f>IF('E Förvärv'!$C$8+1&gt;A37,B37,0)</f>
        <v>40548.262741939347</v>
      </c>
      <c r="E37" s="16"/>
    </row>
    <row r="38" spans="1:5" x14ac:dyDescent="0.25">
      <c r="A38">
        <v>35</v>
      </c>
      <c r="B38" s="16">
        <f>'E Förvärv'!$C$44*(1/(1+'E Förvärv'!$C$10)^A38)*(('E Förvärv'!$C$12+1)^NuvFörvärv!A38)</f>
        <v>39627.601703837354</v>
      </c>
      <c r="C38" s="16">
        <f>IF('E Förvärv'!$C$8+1&gt;A38,B38,0)</f>
        <v>39627.601703837354</v>
      </c>
      <c r="E38" s="16"/>
    </row>
    <row r="39" spans="1:5" x14ac:dyDescent="0.25">
      <c r="A39">
        <v>36</v>
      </c>
      <c r="B39" s="16">
        <f>'E Förvärv'!$C$44*(1/(1+'E Förvärv'!$C$10)^A39)*(('E Förvärv'!$C$12+1)^NuvFörvärv!A39)</f>
        <v>38727.844563701918</v>
      </c>
      <c r="C39" s="16">
        <f>IF('E Förvärv'!$C$8+1&gt;A39,B39,0)</f>
        <v>38727.844563701918</v>
      </c>
      <c r="E39" s="16"/>
    </row>
    <row r="40" spans="1:5" x14ac:dyDescent="0.25">
      <c r="A40">
        <v>37</v>
      </c>
      <c r="B40" s="16">
        <f>'E Förvärv'!$C$44*(1/(1+'E Förvärv'!$C$10)^A40)*(('E Förvärv'!$C$12+1)^NuvFörvärv!A40)</f>
        <v>37848.516691965691</v>
      </c>
      <c r="C40" s="16">
        <f>IF('E Förvärv'!$C$8+1&gt;A40,B40,0)</f>
        <v>37848.516691965691</v>
      </c>
      <c r="E40" s="16"/>
    </row>
    <row r="41" spans="1:5" x14ac:dyDescent="0.25">
      <c r="A41">
        <v>38</v>
      </c>
      <c r="B41" s="16">
        <f>'E Förvärv'!$C$44*(1/(1+'E Förvärv'!$C$10)^A41)*(('E Förvärv'!$C$12+1)^NuvFörvärv!A41)</f>
        <v>36989.154235674694</v>
      </c>
      <c r="C41" s="16">
        <f>IF('E Förvärv'!$C$8+1&gt;A41,B41,0)</f>
        <v>36989.154235674694</v>
      </c>
      <c r="E41" s="16"/>
    </row>
    <row r="42" spans="1:5" x14ac:dyDescent="0.25">
      <c r="A42">
        <v>39</v>
      </c>
      <c r="B42" s="16">
        <f>'E Förvärv'!$C$44*(1/(1+'E Förvärv'!$C$10)^A42)*(('E Förvärv'!$C$12+1)^NuvFörvärv!A42)</f>
        <v>36149.303873801895</v>
      </c>
      <c r="C42" s="16">
        <f>IF('E Förvärv'!$C$8+1&gt;A42,B42,0)</f>
        <v>36149.303873801895</v>
      </c>
      <c r="E42" s="16"/>
    </row>
    <row r="43" spans="1:5" x14ac:dyDescent="0.25">
      <c r="A43">
        <v>40</v>
      </c>
      <c r="B43" s="16">
        <f>'E Förvärv'!$C$44*(1/(1+'E Förvärv'!$C$10)^A43)*(('E Förvärv'!$C$12+1)^NuvFörvärv!A43)</f>
        <v>35328.522578116543</v>
      </c>
      <c r="C43" s="16">
        <f>IF('E Förvärv'!$C$8+1&gt;A43,B43,0)</f>
        <v>35328.522578116543</v>
      </c>
      <c r="E43" s="16"/>
    </row>
    <row r="44" spans="1:5" x14ac:dyDescent="0.25">
      <c r="A44">
        <v>41</v>
      </c>
      <c r="B44" s="16">
        <f>'E Förvärv'!$C$44*(1/(1+'E Förvärv'!$C$10)^A44)*(('E Förvärv'!$C$12+1)^40)</f>
        <v>34133.838239726138</v>
      </c>
      <c r="C44" s="16">
        <f>IF('E Förvärv'!$C$8+1&gt;A44,B44,0)</f>
        <v>34133.838239726138</v>
      </c>
      <c r="E44" s="16"/>
    </row>
    <row r="45" spans="1:5" x14ac:dyDescent="0.25">
      <c r="A45">
        <v>42</v>
      </c>
      <c r="B45" s="16">
        <f>'E Förvärv'!$C$44*(1/(1+'E Förvärv'!$C$10)^A45)*(('E Förvärv'!$C$12+1)^40)</f>
        <v>32979.553854807862</v>
      </c>
      <c r="C45" s="16">
        <f>IF('E Förvärv'!$C$8+1&gt;A45,B45,0)</f>
        <v>32979.553854807862</v>
      </c>
      <c r="E45" s="16"/>
    </row>
    <row r="46" spans="1:5" x14ac:dyDescent="0.25">
      <c r="A46">
        <v>43</v>
      </c>
      <c r="B46" s="16">
        <f>'E Förvärv'!$C$44*(1/(1+'E Förvärv'!$C$10)^A46)*(('E Förvärv'!$C$12+1)^40)</f>
        <v>31864.303241360252</v>
      </c>
      <c r="C46" s="16">
        <f>IF('E Förvärv'!$C$8+1&gt;A46,B46,0)</f>
        <v>31864.303241360252</v>
      </c>
      <c r="E46" s="16"/>
    </row>
    <row r="47" spans="1:5" x14ac:dyDescent="0.25">
      <c r="A47">
        <v>44</v>
      </c>
      <c r="B47" s="16">
        <f>'E Förvärv'!$C$44*(1/(1+'E Förvärv'!$C$10)^A47)*(('E Förvärv'!$C$12+1)^40)</f>
        <v>30786.766416773196</v>
      </c>
      <c r="C47" s="16">
        <f>IF('E Förvärv'!$C$8+1&gt;A47,B47,0)</f>
        <v>30786.766416773196</v>
      </c>
      <c r="E47" s="16"/>
    </row>
    <row r="48" spans="1:5" x14ac:dyDescent="0.25">
      <c r="A48">
        <v>45</v>
      </c>
      <c r="B48" s="16">
        <f>'E Förvärv'!$C$44*(1/(1+'E Förvärv'!$C$10)^A48)*(('E Förvärv'!$C$12+1)^40)</f>
        <v>29745.668035529659</v>
      </c>
      <c r="C48" s="16">
        <f>IF('E Förvärv'!$C$8+1&gt;A48,B48,0)</f>
        <v>29745.668035529659</v>
      </c>
      <c r="E48" s="16"/>
    </row>
    <row r="49" spans="1:5" x14ac:dyDescent="0.25">
      <c r="A49">
        <v>46</v>
      </c>
      <c r="B49" s="16">
        <f>'E Förvärv'!$C$44*(1/(1+'E Förvärv'!$C$10)^A49)*(('E Förvärv'!$C$12+1)^40)</f>
        <v>28739.775879738801</v>
      </c>
      <c r="C49" s="16">
        <f>IF('E Förvärv'!$C$8+1&gt;A49,B49,0)</f>
        <v>28739.775879738801</v>
      </c>
      <c r="E49" s="16"/>
    </row>
    <row r="50" spans="1:5" x14ac:dyDescent="0.25">
      <c r="A50">
        <v>47</v>
      </c>
      <c r="B50" s="16">
        <f>'E Förvärv'!$C$44*(1/(1+'E Förvärv'!$C$10)^A50)*(('E Förvärv'!$C$12+1)^40)</f>
        <v>27767.899400713821</v>
      </c>
      <c r="C50" s="16">
        <f>IF('E Förvärv'!$C$8+1&gt;A50,B50,0)</f>
        <v>27767.899400713821</v>
      </c>
      <c r="E50" s="16"/>
    </row>
    <row r="51" spans="1:5" x14ac:dyDescent="0.25">
      <c r="A51">
        <v>48</v>
      </c>
      <c r="B51" s="16">
        <f>'E Förvärv'!$C$44*(1/(1+'E Förvärv'!$C$10)^A51)*(('E Förvärv'!$C$12+1)^40)</f>
        <v>26828.888309868431</v>
      </c>
      <c r="C51" s="16">
        <f>IF('E Förvärv'!$C$8+1&gt;A51,B51,0)</f>
        <v>26828.888309868431</v>
      </c>
      <c r="E51" s="16"/>
    </row>
    <row r="52" spans="1:5" x14ac:dyDescent="0.25">
      <c r="A52">
        <v>49</v>
      </c>
      <c r="B52" s="16">
        <f>'E Förvärv'!$C$44*(1/(1+'E Förvärv'!$C$10)^A52)*(('E Förvärv'!$C$12+1)^40)</f>
        <v>25921.631217264192</v>
      </c>
      <c r="C52" s="16">
        <f>IF('E Förvärv'!$C$8+1&gt;A52,B52,0)</f>
        <v>25921.631217264192</v>
      </c>
      <c r="E52" s="16"/>
    </row>
    <row r="53" spans="1:5" x14ac:dyDescent="0.25">
      <c r="A53">
        <v>50</v>
      </c>
      <c r="B53" s="16">
        <f>'E Förvärv'!$C$44*(1/(1+'E Förvärv'!$C$10)^A53)*(('E Förvärv'!$C$12+1)^40)</f>
        <v>25045.054316197282</v>
      </c>
      <c r="C53" s="16">
        <f>IF('E Förvärv'!$C$8+1&gt;A53,B53,0)</f>
        <v>25045.054316197282</v>
      </c>
      <c r="E53" s="16"/>
    </row>
    <row r="54" spans="1:5" x14ac:dyDescent="0.25">
      <c r="A54">
        <v>51</v>
      </c>
      <c r="B54" s="16">
        <f>'E Förvärv'!$C$44*(1/(1+'E Förvärv'!$C$10)^A54)*(('E Förvärv'!$C$12+1)^40)</f>
        <v>24198.120112267909</v>
      </c>
      <c r="C54" s="16">
        <f>IF('E Förvärv'!$C$8+1&gt;A54,B54,0)</f>
        <v>24198.120112267909</v>
      </c>
      <c r="E54" s="16"/>
    </row>
    <row r="55" spans="1:5" x14ac:dyDescent="0.25">
      <c r="A55">
        <v>52</v>
      </c>
      <c r="B55" s="16">
        <f>'E Förvärv'!$C$44*(1/(1+'E Förvärv'!$C$10)^A55)*(('E Förvärv'!$C$12+1)^40)</f>
        <v>23379.826195427933</v>
      </c>
      <c r="C55" s="16">
        <f>IF('E Förvärv'!$C$8+1&gt;A55,B55,0)</f>
        <v>23379.826195427933</v>
      </c>
      <c r="E55" s="16"/>
    </row>
    <row r="56" spans="1:5" x14ac:dyDescent="0.25">
      <c r="A56">
        <v>53</v>
      </c>
      <c r="B56" s="16">
        <f>'E Förvärv'!$C$44*(1/(1+'E Förvärv'!$C$10)^A56)*(('E Förvärv'!$C$12+1)^40)</f>
        <v>22589.204053553563</v>
      </c>
      <c r="C56" s="16">
        <f>IF('E Förvärv'!$C$8+1&gt;A56,B56,0)</f>
        <v>22589.204053553563</v>
      </c>
      <c r="E56" s="16"/>
    </row>
    <row r="57" spans="1:5" x14ac:dyDescent="0.25">
      <c r="A57">
        <v>54</v>
      </c>
      <c r="B57" s="16">
        <f>'E Förvärv'!$C$44*(1/(1+'E Förvärv'!$C$10)^A57)*(('E Förvärv'!$C$12+1)^40)</f>
        <v>21825.317926138712</v>
      </c>
      <c r="C57" s="16">
        <f>IF('E Förvärv'!$C$8+1&gt;A57,B57,0)</f>
        <v>21825.317926138712</v>
      </c>
      <c r="E57" s="16"/>
    </row>
    <row r="58" spans="1:5" x14ac:dyDescent="0.25">
      <c r="A58">
        <v>55</v>
      </c>
      <c r="B58" s="16">
        <f>'E Förvärv'!$C$44*(1/(1+'E Förvärv'!$C$10)^A58)*(('E Förvärv'!$C$12+1)^40)</f>
        <v>21087.263696752376</v>
      </c>
      <c r="C58" s="16">
        <f>IF('E Förvärv'!$C$8+1&gt;A58,B58,0)</f>
        <v>21087.263696752376</v>
      </c>
      <c r="E58" s="16"/>
    </row>
    <row r="59" spans="1:5" x14ac:dyDescent="0.25">
      <c r="A59">
        <v>56</v>
      </c>
      <c r="B59" s="16">
        <f>'E Förvärv'!$C$44*(1/(1+'E Förvärv'!$C$10)^A59)*(('E Förvärv'!$C$12+1)^40)</f>
        <v>20374.167822949159</v>
      </c>
      <c r="C59" s="16">
        <f>IF('E Förvärv'!$C$8+1&gt;A59,B59,0)</f>
        <v>20374.167822949159</v>
      </c>
      <c r="E59" s="16"/>
    </row>
    <row r="60" spans="1:5" x14ac:dyDescent="0.25">
      <c r="A60">
        <v>57</v>
      </c>
      <c r="B60" s="16">
        <f>'E Förvärv'!$C$44*(1/(1+'E Förvärv'!$C$10)^A60)*(('E Förvärv'!$C$12+1)^40)</f>
        <v>19685.186302366339</v>
      </c>
      <c r="C60" s="16">
        <f>IF('E Förvärv'!$C$8+1&gt;A60,B60,0)</f>
        <v>19685.186302366339</v>
      </c>
      <c r="E60" s="16"/>
    </row>
    <row r="61" spans="1:5" x14ac:dyDescent="0.25">
      <c r="A61">
        <v>58</v>
      </c>
      <c r="B61" s="16">
        <f>'E Förvärv'!$C$44*(1/(1+'E Förvärv'!$C$10)^A61)*(('E Förvärv'!$C$12+1)^40)</f>
        <v>19019.503673783904</v>
      </c>
      <c r="C61" s="16">
        <f>IF('E Förvärv'!$C$8+1&gt;A61,B61,0)</f>
        <v>19019.503673783904</v>
      </c>
      <c r="E61" s="16"/>
    </row>
    <row r="62" spans="1:5" x14ac:dyDescent="0.25">
      <c r="A62">
        <v>59</v>
      </c>
      <c r="B62" s="16">
        <f>'E Förvärv'!$C$44*(1/(1+'E Förvärv'!$C$10)^A62)*(('E Förvärv'!$C$12+1)^40)</f>
        <v>18376.332051965121</v>
      </c>
      <c r="C62" s="16">
        <f>IF('E Förvärv'!$C$8+1&gt;A62,B62,0)</f>
        <v>18376.332051965121</v>
      </c>
      <c r="E62" s="16"/>
    </row>
    <row r="63" spans="1:5" x14ac:dyDescent="0.25">
      <c r="A63">
        <v>60</v>
      </c>
      <c r="B63" s="16">
        <f>'E Förvärv'!$C$44*(1/(1+'E Förvärv'!$C$10)^A63)*(('E Förvärv'!$C$12+1)^40)</f>
        <v>17754.910195135388</v>
      </c>
      <c r="C63" s="16">
        <f>IF('E Förvärv'!$C$8+1&gt;A63,B63,0)</f>
        <v>17754.910195135388</v>
      </c>
      <c r="E63" s="16"/>
    </row>
    <row r="64" spans="1:5" x14ac:dyDescent="0.25">
      <c r="B64" s="16"/>
      <c r="C64" s="16">
        <f>SUM(C3:C63)</f>
        <v>2792149.2525398447</v>
      </c>
      <c r="E64" s="16"/>
    </row>
    <row r="65" spans="2:5" x14ac:dyDescent="0.25">
      <c r="B65" s="16"/>
      <c r="C65" s="16"/>
      <c r="E65" s="16"/>
    </row>
    <row r="66" spans="2:5" x14ac:dyDescent="0.25">
      <c r="B66" s="16"/>
      <c r="C66" s="16"/>
      <c r="E66" s="16"/>
    </row>
    <row r="67" spans="2:5" x14ac:dyDescent="0.25">
      <c r="B67" s="16"/>
      <c r="C67" s="16"/>
      <c r="E67" s="16"/>
    </row>
    <row r="68" spans="2:5" x14ac:dyDescent="0.25">
      <c r="B68" s="16"/>
      <c r="E68" s="16"/>
    </row>
    <row r="69" spans="2:5" x14ac:dyDescent="0.25">
      <c r="B69" s="16"/>
      <c r="E69" s="16"/>
    </row>
    <row r="70" spans="2:5" x14ac:dyDescent="0.25">
      <c r="B70" s="16"/>
      <c r="E70" s="16"/>
    </row>
    <row r="71" spans="2:5" x14ac:dyDescent="0.25">
      <c r="B71" s="16"/>
      <c r="E71" s="16"/>
    </row>
    <row r="72" spans="2:5" x14ac:dyDescent="0.25">
      <c r="B72" s="16"/>
      <c r="E72" s="16"/>
    </row>
    <row r="73" spans="2:5" x14ac:dyDescent="0.25">
      <c r="B73" s="16"/>
      <c r="E73" s="16"/>
    </row>
    <row r="74" spans="2:5" x14ac:dyDescent="0.25">
      <c r="B74" s="16"/>
      <c r="E74" s="16"/>
    </row>
    <row r="75" spans="2:5" x14ac:dyDescent="0.25">
      <c r="B75" s="16"/>
      <c r="E75" s="16"/>
    </row>
    <row r="76" spans="2:5" x14ac:dyDescent="0.25">
      <c r="B76" s="16"/>
      <c r="E76" s="16"/>
    </row>
    <row r="77" spans="2:5" x14ac:dyDescent="0.25">
      <c r="B77" s="16"/>
      <c r="E77" s="16"/>
    </row>
    <row r="78" spans="2:5" x14ac:dyDescent="0.25">
      <c r="B78" s="16"/>
      <c r="E78" s="16"/>
    </row>
    <row r="79" spans="2:5" x14ac:dyDescent="0.25">
      <c r="B79" s="16"/>
      <c r="E79" s="16"/>
    </row>
    <row r="80" spans="2:5" x14ac:dyDescent="0.25">
      <c r="B80" s="16"/>
      <c r="E80" s="16"/>
    </row>
    <row r="81" spans="2:5" x14ac:dyDescent="0.25">
      <c r="B81" s="16"/>
      <c r="E81" s="16"/>
    </row>
    <row r="82" spans="2:5" x14ac:dyDescent="0.25">
      <c r="B82" s="16"/>
      <c r="E82" s="16"/>
    </row>
    <row r="83" spans="2:5" x14ac:dyDescent="0.25">
      <c r="B83" s="16"/>
      <c r="E83" s="16"/>
    </row>
    <row r="84" spans="2:5" x14ac:dyDescent="0.25">
      <c r="B84" s="16"/>
      <c r="E84" s="16"/>
    </row>
    <row r="85" spans="2:5" x14ac:dyDescent="0.25">
      <c r="B85" s="16"/>
      <c r="E85" s="16"/>
    </row>
    <row r="86" spans="2:5" x14ac:dyDescent="0.25">
      <c r="B86" s="16"/>
      <c r="E86" s="16"/>
    </row>
    <row r="87" spans="2:5" x14ac:dyDescent="0.25">
      <c r="B87" s="16"/>
      <c r="E87" s="16"/>
    </row>
    <row r="88" spans="2:5" x14ac:dyDescent="0.25">
      <c r="B88" s="16"/>
      <c r="E88" s="16"/>
    </row>
    <row r="89" spans="2:5" x14ac:dyDescent="0.25">
      <c r="B89" s="16"/>
      <c r="E89" s="16"/>
    </row>
    <row r="90" spans="2:5" x14ac:dyDescent="0.25">
      <c r="B90" s="16"/>
      <c r="E90" s="16"/>
    </row>
    <row r="91" spans="2:5" x14ac:dyDescent="0.25">
      <c r="B91" s="16"/>
      <c r="E91" s="16"/>
    </row>
    <row r="92" spans="2:5" x14ac:dyDescent="0.25">
      <c r="B92" s="16"/>
      <c r="E92" s="16"/>
    </row>
    <row r="93" spans="2:5" x14ac:dyDescent="0.25">
      <c r="B93" s="16"/>
      <c r="E93" s="16"/>
    </row>
    <row r="94" spans="2:5" x14ac:dyDescent="0.25">
      <c r="B94" s="16"/>
      <c r="E94" s="16"/>
    </row>
    <row r="95" spans="2:5" x14ac:dyDescent="0.25">
      <c r="B95" s="16"/>
      <c r="E95" s="16"/>
    </row>
    <row r="96" spans="2:5" x14ac:dyDescent="0.25">
      <c r="B96" s="16"/>
      <c r="E96" s="16"/>
    </row>
    <row r="97" spans="2:5" x14ac:dyDescent="0.25">
      <c r="B97" s="16"/>
      <c r="E97" s="16"/>
    </row>
    <row r="98" spans="2:5" x14ac:dyDescent="0.25">
      <c r="B98" s="16"/>
      <c r="E98" s="16"/>
    </row>
    <row r="99" spans="2:5" x14ac:dyDescent="0.25">
      <c r="B99" s="16"/>
      <c r="E99" s="16"/>
    </row>
    <row r="100" spans="2:5" x14ac:dyDescent="0.25">
      <c r="B100" s="16"/>
      <c r="E100" s="16"/>
    </row>
    <row r="101" spans="2:5" x14ac:dyDescent="0.25">
      <c r="B101" s="16"/>
      <c r="E101" s="16"/>
    </row>
    <row r="102" spans="2:5" x14ac:dyDescent="0.25">
      <c r="B102" s="16"/>
      <c r="E102" s="16"/>
    </row>
    <row r="103" spans="2:5" x14ac:dyDescent="0.25">
      <c r="B103" s="16"/>
      <c r="E103" s="16"/>
    </row>
    <row r="104" spans="2:5" x14ac:dyDescent="0.25">
      <c r="B104" s="16"/>
      <c r="E104" s="16"/>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89"/>
  <sheetViews>
    <sheetView zoomScaleNormal="100" workbookViewId="0">
      <selection activeCell="D57" sqref="D57"/>
    </sheetView>
  </sheetViews>
  <sheetFormatPr defaultRowHeight="12.5" x14ac:dyDescent="0.25"/>
  <cols>
    <col min="1" max="1" width="3.7265625" style="33" customWidth="1"/>
    <col min="2" max="2" width="42.81640625" customWidth="1"/>
    <col min="3" max="3" width="22.81640625" customWidth="1"/>
    <col min="4" max="4" width="23.7265625" customWidth="1"/>
    <col min="5" max="5" width="16" customWidth="1"/>
    <col min="6" max="6" width="11.81640625" style="3" customWidth="1"/>
    <col min="7" max="7" width="12.453125" style="3" customWidth="1"/>
    <col min="8" max="8" width="11.54296875" style="33" customWidth="1"/>
    <col min="9" max="15" width="9.1796875" style="33"/>
    <col min="16" max="41" width="9.1796875" style="3"/>
  </cols>
  <sheetData>
    <row r="1" spans="1:43" s="5" customFormat="1" ht="17.5" x14ac:dyDescent="0.35">
      <c r="A1" s="31"/>
      <c r="B1" s="71" t="s">
        <v>307</v>
      </c>
      <c r="C1" s="71"/>
      <c r="D1" s="71"/>
      <c r="E1" s="71"/>
      <c r="F1" s="31"/>
      <c r="G1" s="31"/>
      <c r="H1" s="31"/>
      <c r="I1" s="31"/>
      <c r="J1" s="31"/>
      <c r="K1" s="39"/>
      <c r="L1" s="39"/>
      <c r="M1" s="31"/>
      <c r="N1" s="31"/>
      <c r="O1" s="31"/>
      <c r="P1" s="4"/>
      <c r="Q1" s="4"/>
      <c r="R1" s="4"/>
      <c r="S1" s="4"/>
      <c r="T1" s="4"/>
      <c r="U1" s="4"/>
      <c r="V1" s="4"/>
      <c r="W1" s="4"/>
      <c r="X1" s="4"/>
      <c r="Y1" s="4"/>
      <c r="Z1" s="4"/>
      <c r="AA1" s="4"/>
      <c r="AB1" s="4"/>
      <c r="AC1" s="4"/>
      <c r="AD1" s="4"/>
      <c r="AE1" s="4"/>
      <c r="AF1" s="4"/>
      <c r="AG1" s="4"/>
      <c r="AH1" s="4"/>
      <c r="AI1" s="4"/>
      <c r="AJ1" s="4"/>
      <c r="AK1" s="4"/>
      <c r="AL1" s="4"/>
      <c r="AM1" s="4"/>
      <c r="AN1" s="4"/>
      <c r="AO1" s="4"/>
    </row>
    <row r="2" spans="1:43" s="8" customFormat="1" x14ac:dyDescent="0.25">
      <c r="A2" s="32"/>
      <c r="B2" s="72" t="s">
        <v>15</v>
      </c>
      <c r="C2" s="73"/>
      <c r="D2" s="73"/>
      <c r="E2" s="73"/>
      <c r="F2" s="32"/>
      <c r="G2" s="32"/>
      <c r="H2" s="32"/>
      <c r="I2" s="32"/>
      <c r="J2" s="32"/>
      <c r="K2" s="40"/>
      <c r="L2" s="40"/>
      <c r="M2" s="32"/>
      <c r="N2" s="32"/>
      <c r="O2" s="32"/>
      <c r="P2" s="7"/>
      <c r="Q2" s="7"/>
      <c r="R2" s="7"/>
      <c r="S2" s="7"/>
      <c r="T2" s="7"/>
      <c r="U2" s="7"/>
      <c r="V2" s="7"/>
      <c r="W2" s="7"/>
      <c r="X2" s="7"/>
      <c r="Y2" s="7"/>
      <c r="Z2" s="7"/>
      <c r="AA2" s="7"/>
      <c r="AB2" s="7"/>
      <c r="AC2" s="7"/>
      <c r="AD2" s="7"/>
      <c r="AE2" s="7"/>
      <c r="AF2" s="7"/>
      <c r="AG2" s="7"/>
      <c r="AH2" s="7"/>
      <c r="AI2" s="7"/>
      <c r="AJ2" s="7"/>
      <c r="AK2" s="7"/>
      <c r="AL2" s="7"/>
      <c r="AM2" s="7"/>
      <c r="AN2" s="7"/>
      <c r="AO2" s="7"/>
    </row>
    <row r="3" spans="1:43" s="8" customFormat="1" x14ac:dyDescent="0.25">
      <c r="A3" s="32"/>
      <c r="B3" s="74" t="s">
        <v>16</v>
      </c>
      <c r="C3" s="73"/>
      <c r="D3" s="73"/>
      <c r="E3" s="73"/>
      <c r="F3" s="32"/>
      <c r="G3" s="32"/>
      <c r="H3" s="32"/>
      <c r="I3" s="32"/>
      <c r="J3" s="32"/>
      <c r="K3" s="40"/>
      <c r="L3" s="40"/>
      <c r="M3" s="32"/>
      <c r="N3" s="32"/>
      <c r="O3" s="32"/>
      <c r="P3" s="7"/>
      <c r="Q3" s="7"/>
      <c r="R3" s="7"/>
      <c r="S3" s="7"/>
      <c r="T3" s="7"/>
      <c r="U3" s="7"/>
      <c r="V3" s="7"/>
      <c r="W3" s="7"/>
      <c r="X3" s="7"/>
      <c r="Y3" s="7"/>
      <c r="Z3" s="7"/>
      <c r="AA3" s="7"/>
      <c r="AB3" s="7"/>
      <c r="AC3" s="7"/>
      <c r="AD3" s="7"/>
      <c r="AE3" s="7"/>
      <c r="AF3" s="7"/>
      <c r="AG3" s="7"/>
      <c r="AH3" s="7"/>
      <c r="AI3" s="7"/>
      <c r="AJ3" s="7"/>
      <c r="AK3" s="7"/>
      <c r="AL3" s="7"/>
      <c r="AM3" s="7"/>
      <c r="AN3" s="7"/>
      <c r="AO3" s="7"/>
    </row>
    <row r="4" spans="1:43" s="8" customFormat="1" x14ac:dyDescent="0.25">
      <c r="A4" s="32"/>
      <c r="B4" s="73" t="s">
        <v>17</v>
      </c>
      <c r="C4" s="73"/>
      <c r="D4" s="73"/>
      <c r="E4" s="73"/>
      <c r="F4" s="32"/>
      <c r="G4" s="32"/>
      <c r="H4" s="32"/>
      <c r="I4" s="32"/>
      <c r="J4" s="32"/>
      <c r="K4" s="40"/>
      <c r="L4" s="40"/>
      <c r="M4" s="32"/>
      <c r="N4" s="32"/>
      <c r="O4" s="32"/>
      <c r="P4" s="7"/>
      <c r="Q4" s="7"/>
      <c r="R4" s="7"/>
      <c r="S4" s="7"/>
      <c r="T4" s="7"/>
      <c r="U4" s="7"/>
      <c r="V4" s="7"/>
      <c r="W4" s="7"/>
      <c r="X4" s="7"/>
      <c r="Y4" s="7"/>
      <c r="Z4" s="7"/>
      <c r="AA4" s="7"/>
      <c r="AB4" s="7"/>
      <c r="AC4" s="7"/>
      <c r="AD4" s="7"/>
      <c r="AE4" s="7"/>
      <c r="AF4" s="7"/>
      <c r="AG4" s="7"/>
      <c r="AH4" s="7"/>
      <c r="AI4" s="7"/>
      <c r="AJ4" s="7"/>
      <c r="AK4" s="7"/>
      <c r="AL4" s="7"/>
      <c r="AM4" s="7"/>
      <c r="AN4" s="7"/>
      <c r="AO4" s="7"/>
    </row>
    <row r="5" spans="1:43" s="3" customFormat="1" x14ac:dyDescent="0.25">
      <c r="A5" s="33"/>
      <c r="H5" s="33"/>
      <c r="I5" s="33"/>
      <c r="J5" s="33"/>
      <c r="K5" s="40"/>
      <c r="L5" s="40"/>
      <c r="M5" s="33"/>
      <c r="N5" s="33"/>
      <c r="O5" s="33"/>
    </row>
    <row r="6" spans="1:43" s="1" customFormat="1" ht="13" x14ac:dyDescent="0.3">
      <c r="A6" s="34"/>
      <c r="B6" s="6" t="s">
        <v>0</v>
      </c>
      <c r="C6" s="6"/>
      <c r="D6" s="34"/>
      <c r="E6" s="41"/>
      <c r="F6" s="41"/>
      <c r="G6" s="41"/>
      <c r="H6" s="34"/>
      <c r="I6" s="34"/>
      <c r="J6" s="34"/>
      <c r="K6" s="41"/>
      <c r="L6" s="41"/>
      <c r="M6" s="34"/>
      <c r="N6" s="34"/>
      <c r="O6" s="34"/>
      <c r="P6" s="2"/>
      <c r="Q6" s="2"/>
      <c r="R6" s="2"/>
      <c r="S6" s="2"/>
      <c r="T6" s="2"/>
      <c r="U6" s="2"/>
      <c r="V6" s="2"/>
      <c r="W6" s="2"/>
      <c r="X6" s="2"/>
      <c r="Y6" s="2"/>
      <c r="Z6" s="2"/>
      <c r="AA6" s="2"/>
      <c r="AB6" s="2"/>
      <c r="AC6" s="2"/>
      <c r="AD6" s="2"/>
      <c r="AE6" s="2"/>
      <c r="AF6" s="2"/>
      <c r="AG6" s="2"/>
      <c r="AH6" s="2"/>
      <c r="AI6" s="2"/>
      <c r="AJ6" s="2"/>
      <c r="AK6" s="2"/>
      <c r="AL6" s="2"/>
      <c r="AM6" s="2"/>
      <c r="AN6" s="2"/>
      <c r="AO6" s="2"/>
    </row>
    <row r="7" spans="1:43" ht="14.25" customHeight="1" x14ac:dyDescent="0.25">
      <c r="B7" s="225" t="s">
        <v>313</v>
      </c>
      <c r="C7" s="226"/>
      <c r="D7" s="33"/>
      <c r="E7" s="40"/>
      <c r="F7" s="40"/>
      <c r="G7" s="40"/>
      <c r="K7" s="40"/>
      <c r="L7" s="40"/>
    </row>
    <row r="8" spans="1:43" x14ac:dyDescent="0.25">
      <c r="B8" s="210" t="s">
        <v>1</v>
      </c>
      <c r="C8" s="227">
        <v>20</v>
      </c>
      <c r="D8" s="33"/>
      <c r="E8" s="40"/>
      <c r="F8" s="40"/>
      <c r="G8" s="40"/>
      <c r="K8" s="40"/>
      <c r="L8" s="40"/>
    </row>
    <row r="9" spans="1:43" x14ac:dyDescent="0.25">
      <c r="B9" s="213" t="s">
        <v>88</v>
      </c>
      <c r="C9" s="227">
        <v>20</v>
      </c>
      <c r="D9" s="86"/>
      <c r="E9" s="40"/>
      <c r="F9" s="40"/>
      <c r="G9" s="40"/>
      <c r="K9" s="40"/>
      <c r="L9" s="40"/>
    </row>
    <row r="10" spans="1:43" x14ac:dyDescent="0.25">
      <c r="B10" s="210" t="s">
        <v>2</v>
      </c>
      <c r="C10" s="227">
        <v>3.5000000000000003E-2</v>
      </c>
      <c r="D10" s="33"/>
      <c r="E10" s="40"/>
      <c r="F10" s="40"/>
      <c r="G10" s="40"/>
      <c r="K10" s="40"/>
      <c r="L10" s="40"/>
    </row>
    <row r="11" spans="1:43" x14ac:dyDescent="0.25">
      <c r="B11" s="213" t="s">
        <v>297</v>
      </c>
      <c r="C11" s="304">
        <v>0.2</v>
      </c>
      <c r="D11" s="86"/>
      <c r="E11" s="40"/>
      <c r="F11" s="40"/>
      <c r="G11" s="40"/>
      <c r="K11" s="40"/>
      <c r="L11" s="40"/>
    </row>
    <row r="12" spans="1:43" x14ac:dyDescent="0.25">
      <c r="B12" s="213" t="s">
        <v>140</v>
      </c>
      <c r="C12" s="305">
        <v>1.15E-2</v>
      </c>
      <c r="D12" s="86"/>
      <c r="E12" s="40"/>
      <c r="F12" s="40"/>
      <c r="G12" s="40"/>
      <c r="K12" s="40"/>
      <c r="L12" s="40"/>
    </row>
    <row r="13" spans="1:43" x14ac:dyDescent="0.25">
      <c r="B13" s="210" t="s">
        <v>57</v>
      </c>
      <c r="C13" s="228">
        <v>0</v>
      </c>
      <c r="D13" s="86"/>
      <c r="E13" s="40"/>
      <c r="F13" s="40"/>
      <c r="G13" s="40"/>
      <c r="K13" s="40"/>
      <c r="L13" s="40"/>
    </row>
    <row r="14" spans="1:43" s="3" customFormat="1" x14ac:dyDescent="0.25">
      <c r="A14" s="33"/>
      <c r="D14" s="33"/>
      <c r="E14" s="40"/>
      <c r="F14" s="40"/>
      <c r="G14" s="33"/>
      <c r="H14" s="33"/>
      <c r="I14" s="33"/>
      <c r="J14" s="33"/>
      <c r="K14" s="40"/>
      <c r="L14" s="40"/>
      <c r="M14" s="33"/>
      <c r="N14" s="33"/>
      <c r="O14" s="33"/>
    </row>
    <row r="15" spans="1:43" s="1" customFormat="1" ht="13" x14ac:dyDescent="0.3">
      <c r="A15" s="34"/>
      <c r="B15" s="6" t="s">
        <v>278</v>
      </c>
      <c r="C15" s="6"/>
      <c r="D15" s="6"/>
      <c r="E15" s="6"/>
      <c r="F15" s="6"/>
      <c r="G15" s="6"/>
      <c r="H15" s="287"/>
      <c r="I15" s="287"/>
      <c r="J15" s="287"/>
      <c r="K15" s="287"/>
      <c r="L15" s="287"/>
      <c r="M15" s="287"/>
      <c r="N15" s="287"/>
      <c r="O15" s="34"/>
      <c r="P15" s="2"/>
      <c r="Q15" s="2"/>
      <c r="R15" s="2"/>
      <c r="S15" s="2"/>
      <c r="T15" s="2"/>
      <c r="U15" s="2"/>
      <c r="V15" s="2"/>
      <c r="W15" s="2"/>
      <c r="X15" s="2"/>
      <c r="Y15" s="2"/>
      <c r="Z15" s="2"/>
      <c r="AA15" s="2"/>
      <c r="AB15" s="2"/>
      <c r="AC15" s="2"/>
      <c r="AD15" s="2"/>
      <c r="AE15" s="2"/>
      <c r="AF15" s="2"/>
      <c r="AG15" s="2"/>
      <c r="AH15" s="2"/>
      <c r="AI15" s="2"/>
      <c r="AJ15" s="2"/>
      <c r="AK15" s="2"/>
      <c r="AL15" s="2"/>
      <c r="AM15" s="2"/>
      <c r="AN15" s="2"/>
      <c r="AO15" s="2"/>
    </row>
    <row r="16" spans="1:43" ht="39.75" customHeight="1" x14ac:dyDescent="0.25">
      <c r="B16" s="191" t="s">
        <v>271</v>
      </c>
      <c r="C16" s="339" t="s">
        <v>276</v>
      </c>
      <c r="D16" s="340" t="s">
        <v>94</v>
      </c>
      <c r="E16" s="340" t="s">
        <v>95</v>
      </c>
      <c r="F16" s="340" t="s">
        <v>3</v>
      </c>
      <c r="G16" s="340" t="s">
        <v>4</v>
      </c>
      <c r="H16" s="320"/>
      <c r="I16" s="321" t="s">
        <v>4</v>
      </c>
      <c r="J16" s="289"/>
      <c r="K16" s="289"/>
      <c r="L16" s="289"/>
      <c r="M16" s="289"/>
      <c r="N16" s="289"/>
      <c r="P16" s="33"/>
      <c r="AP16" s="3"/>
      <c r="AQ16" s="3"/>
    </row>
    <row r="17" spans="2:43" x14ac:dyDescent="0.25">
      <c r="B17" s="210"/>
      <c r="C17" s="59">
        <v>62</v>
      </c>
      <c r="D17" s="234">
        <v>30</v>
      </c>
      <c r="E17" s="58">
        <v>32</v>
      </c>
      <c r="F17" s="110">
        <v>13.5</v>
      </c>
      <c r="G17" s="79">
        <f t="shared" ref="G17:G31" si="0">IF(C17&gt;75,"För hög dBA",I17)</f>
        <v>16414.694483386935</v>
      </c>
      <c r="H17" s="291"/>
      <c r="I17" s="290">
        <f>IF((C17-D17)&gt;25,(F17*(VLOOKUP(C17-D17,Bullervärdering!$E$3:$I$28,3)*(C17-D17)-VLOOKUP(C17-D17,Bullervärdering!$E$3:$I$28,3)*VLOOKUP(C17-D17,Bullervärdering!$E$3:$I$28,1)+VLOOKUP(C17-D17,Bullervärdering!$E$3:$I$28,2)-IF((C17-E17)&gt;25,(VLOOKUP(C17-E17,Bullervärdering!$E$3:$I$28,3)*(C17-E17)-VLOOKUP(C17-E17,Bullervärdering!$E$3:$I$28,3)*VLOOKUP(C17-E17,Bullervärdering!$E$3:$I$28,1)+VLOOKUP(C17-E17,Bullervärdering!$E$3:$I$28,2)),0))),0)</f>
        <v>16414.694483386935</v>
      </c>
      <c r="J17" s="289"/>
      <c r="K17" s="289"/>
      <c r="L17" s="322"/>
      <c r="M17" s="289"/>
      <c r="N17" s="289"/>
      <c r="P17" s="33"/>
      <c r="AP17" s="3"/>
    </row>
    <row r="18" spans="2:43" x14ac:dyDescent="0.25">
      <c r="B18" s="210"/>
      <c r="C18" s="59">
        <v>57</v>
      </c>
      <c r="D18" s="234">
        <v>30</v>
      </c>
      <c r="E18" s="58">
        <v>30</v>
      </c>
      <c r="F18" s="110">
        <v>8.1</v>
      </c>
      <c r="G18" s="242">
        <f t="shared" si="0"/>
        <v>0</v>
      </c>
      <c r="H18" s="291"/>
      <c r="I18" s="290">
        <f>IF((C18-D18)&gt;25,(F18*(VLOOKUP(C18-D18,Bullervärdering!$E$3:$I$28,3)*(C18-D18)-VLOOKUP(C18-D18,Bullervärdering!$E$3:$I$28,3)*VLOOKUP(C18-D18,Bullervärdering!$E$3:$I$28,1)+VLOOKUP(C18-D18,Bullervärdering!$E$3:$I$28,2)-IF((C18-E18)&gt;25,(VLOOKUP(C18-E18,Bullervärdering!$E$3:$I$28,3)*(C18-E18)-VLOOKUP(C18-E18,Bullervärdering!$E$3:$I$28,3)*VLOOKUP(C18-E18,Bullervärdering!$E$3:$I$28,1)+VLOOKUP(C18-E18,Bullervärdering!$E$3:$I$28,2)),0))),0)</f>
        <v>0</v>
      </c>
      <c r="J18" s="289"/>
      <c r="K18" s="289"/>
      <c r="L18" s="322"/>
      <c r="M18" s="289"/>
      <c r="N18" s="289"/>
      <c r="P18" s="33"/>
      <c r="AP18" s="3"/>
    </row>
    <row r="19" spans="2:43" x14ac:dyDescent="0.25">
      <c r="B19" s="210"/>
      <c r="C19" s="59"/>
      <c r="D19" s="234">
        <v>30</v>
      </c>
      <c r="E19" s="58"/>
      <c r="F19" s="110"/>
      <c r="G19" s="242">
        <f t="shared" si="0"/>
        <v>0</v>
      </c>
      <c r="H19" s="291"/>
      <c r="I19" s="290">
        <f>IF((C19-D19)&gt;25,(F19*(VLOOKUP(C19-D19,Bullervärdering!$E$3:$I$28,3)*(C19-D19)-VLOOKUP(C19-D19,Bullervärdering!$E$3:$I$28,3)*VLOOKUP(C19-D19,Bullervärdering!$E$3:$I$28,1)+VLOOKUP(C19-D19,Bullervärdering!$E$3:$I$28,2)-IF((C19-E19)&gt;25,(VLOOKUP(C19-E19,Bullervärdering!$E$3:$I$28,3)*(C19-E19)-VLOOKUP(C19-E19,Bullervärdering!$E$3:$I$28,3)*VLOOKUP(C19-E19,Bullervärdering!$E$3:$I$28,1)+VLOOKUP(C19-E19,Bullervärdering!$E$3:$I$28,2)),0))),0)</f>
        <v>0</v>
      </c>
      <c r="J19" s="289"/>
      <c r="K19" s="289"/>
      <c r="L19" s="322"/>
      <c r="M19" s="289"/>
      <c r="N19" s="289"/>
      <c r="P19" s="33"/>
      <c r="AP19" s="3"/>
    </row>
    <row r="20" spans="2:43" x14ac:dyDescent="0.25">
      <c r="B20" s="210"/>
      <c r="C20" s="59"/>
      <c r="D20" s="234">
        <v>30</v>
      </c>
      <c r="E20" s="111"/>
      <c r="F20" s="110"/>
      <c r="G20" s="242">
        <f t="shared" si="0"/>
        <v>0</v>
      </c>
      <c r="H20" s="291"/>
      <c r="I20" s="290">
        <f>IF((C20-D20)&gt;25,(F20*(VLOOKUP(C20-D20,Bullervärdering!$E$3:$I$28,3)*(C20-D20)-VLOOKUP(C20-D20,Bullervärdering!$E$3:$I$28,3)*VLOOKUP(C20-D20,Bullervärdering!$E$3:$I$28,1)+VLOOKUP(C20-D20,Bullervärdering!$E$3:$I$28,2)-IF((C20-E20)&gt;25,(VLOOKUP(C20-E20,Bullervärdering!$E$3:$I$28,3)*(C20-E20)-VLOOKUP(C20-E20,Bullervärdering!$E$3:$I$28,3)*VLOOKUP(C20-E20,Bullervärdering!$E$3:$I$28,1)+VLOOKUP(C20-E20,Bullervärdering!$E$3:$I$28,2)),0))),0)</f>
        <v>0</v>
      </c>
      <c r="J20" s="289"/>
      <c r="K20" s="289"/>
      <c r="L20" s="289"/>
      <c r="M20" s="289"/>
      <c r="N20" s="289"/>
      <c r="P20" s="33"/>
      <c r="AP20" s="3"/>
    </row>
    <row r="21" spans="2:43" x14ac:dyDescent="0.25">
      <c r="B21" s="210"/>
      <c r="C21" s="59"/>
      <c r="D21" s="234">
        <v>30</v>
      </c>
      <c r="E21" s="111"/>
      <c r="F21" s="110"/>
      <c r="G21" s="242">
        <f t="shared" si="0"/>
        <v>0</v>
      </c>
      <c r="H21" s="291"/>
      <c r="I21" s="290">
        <f>IF((C21-D21)&gt;25,(F21*(VLOOKUP(C21-D21,Bullervärdering!$E$3:$I$28,3)*(C21-D21)-VLOOKUP(C21-D21,Bullervärdering!$E$3:$I$28,3)*VLOOKUP(C21-D21,Bullervärdering!$E$3:$I$28,1)+VLOOKUP(C21-D21,Bullervärdering!$E$3:$I$28,2)-IF((C21-E21)&gt;25,(VLOOKUP(C21-E21,Bullervärdering!$E$3:$I$28,3)*(C21-E21)-VLOOKUP(C21-E21,Bullervärdering!$E$3:$I$28,3)*VLOOKUP(C21-E21,Bullervärdering!$E$3:$I$28,1)+VLOOKUP(C21-E21,Bullervärdering!$E$3:$I$28,2)),0))),0)</f>
        <v>0</v>
      </c>
      <c r="J21" s="289"/>
      <c r="K21" s="289"/>
      <c r="L21" s="289"/>
      <c r="M21" s="289"/>
      <c r="N21" s="289"/>
      <c r="P21" s="33"/>
      <c r="AP21" s="3"/>
    </row>
    <row r="22" spans="2:43" x14ac:dyDescent="0.25">
      <c r="B22" s="210"/>
      <c r="C22" s="59"/>
      <c r="D22" s="234">
        <v>30</v>
      </c>
      <c r="E22" s="111"/>
      <c r="F22" s="110"/>
      <c r="G22" s="242">
        <f t="shared" si="0"/>
        <v>0</v>
      </c>
      <c r="H22" s="291"/>
      <c r="I22" s="290">
        <f>IF((C22-D22)&gt;25,(F22*(VLOOKUP(C22-D22,Bullervärdering!$E$3:$I$28,3)*(C22-D22)-VLOOKUP(C22-D22,Bullervärdering!$E$3:$I$28,3)*VLOOKUP(C22-D22,Bullervärdering!$E$3:$I$28,1)+VLOOKUP(C22-D22,Bullervärdering!$E$3:$I$28,2)-IF((C22-E22)&gt;25,(VLOOKUP(C22-E22,Bullervärdering!$E$3:$I$28,3)*(C22-E22)-VLOOKUP(C22-E22,Bullervärdering!$E$3:$I$28,3)*VLOOKUP(C22-E22,Bullervärdering!$E$3:$I$28,1)+VLOOKUP(C22-E22,Bullervärdering!$E$3:$I$28,2)),0))),0)</f>
        <v>0</v>
      </c>
      <c r="J22" s="289"/>
      <c r="K22" s="289"/>
      <c r="L22" s="289"/>
      <c r="M22" s="289"/>
      <c r="N22" s="289"/>
      <c r="P22" s="33"/>
      <c r="AP22" s="3"/>
    </row>
    <row r="23" spans="2:43" x14ac:dyDescent="0.25">
      <c r="B23" s="210"/>
      <c r="C23" s="59"/>
      <c r="D23" s="234">
        <v>30</v>
      </c>
      <c r="E23" s="111"/>
      <c r="F23" s="110"/>
      <c r="G23" s="242">
        <f t="shared" si="0"/>
        <v>0</v>
      </c>
      <c r="H23" s="291"/>
      <c r="I23" s="290">
        <f>IF((C23-D23)&gt;25,(F23*(VLOOKUP(C23-D23,Bullervärdering!$E$3:$I$28,3)*(C23-D23)-VLOOKUP(C23-D23,Bullervärdering!$E$3:$I$28,3)*VLOOKUP(C23-D23,Bullervärdering!$E$3:$I$28,1)+VLOOKUP(C23-D23,Bullervärdering!$E$3:$I$28,2)-IF((C23-E23)&gt;25,(VLOOKUP(C23-E23,Bullervärdering!$E$3:$I$28,3)*(C23-E23)-VLOOKUP(C23-E23,Bullervärdering!$E$3:$I$28,3)*VLOOKUP(C23-E23,Bullervärdering!$E$3:$I$28,1)+VLOOKUP(C23-E23,Bullervärdering!$E$3:$I$28,2)),0))),0)</f>
        <v>0</v>
      </c>
      <c r="J23" s="289"/>
      <c r="K23" s="289"/>
      <c r="L23" s="289"/>
      <c r="M23" s="289"/>
      <c r="N23" s="289"/>
      <c r="P23" s="33"/>
      <c r="AP23" s="3"/>
    </row>
    <row r="24" spans="2:43" x14ac:dyDescent="0.25">
      <c r="B24" s="210"/>
      <c r="C24" s="59"/>
      <c r="D24" s="234">
        <v>30</v>
      </c>
      <c r="E24" s="111"/>
      <c r="F24" s="110"/>
      <c r="G24" s="242">
        <f t="shared" si="0"/>
        <v>0</v>
      </c>
      <c r="H24" s="291"/>
      <c r="I24" s="290">
        <f>IF((C24-D24)&gt;25,(F24*(VLOOKUP(C24-D24,Bullervärdering!$E$3:$I$28,3)*(C24-D24)-VLOOKUP(C24-D24,Bullervärdering!$E$3:$I$28,3)*VLOOKUP(C24-D24,Bullervärdering!$E$3:$I$28,1)+VLOOKUP(C24-D24,Bullervärdering!$E$3:$I$28,2)-IF((C24-E24)&gt;25,(VLOOKUP(C24-E24,Bullervärdering!$E$3:$I$28,3)*(C24-E24)-VLOOKUP(C24-E24,Bullervärdering!$E$3:$I$28,3)*VLOOKUP(C24-E24,Bullervärdering!$E$3:$I$28,1)+VLOOKUP(C24-E24,Bullervärdering!$E$3:$I$28,2)),0))),0)</f>
        <v>0</v>
      </c>
      <c r="J24" s="289"/>
      <c r="K24" s="289"/>
      <c r="L24" s="289"/>
      <c r="M24" s="289"/>
      <c r="N24" s="289"/>
      <c r="P24" s="33"/>
      <c r="AP24" s="3"/>
    </row>
    <row r="25" spans="2:43" x14ac:dyDescent="0.25">
      <c r="B25" s="210"/>
      <c r="C25" s="59"/>
      <c r="D25" s="234">
        <v>30</v>
      </c>
      <c r="E25" s="111"/>
      <c r="F25" s="110"/>
      <c r="G25" s="242">
        <f t="shared" si="0"/>
        <v>0</v>
      </c>
      <c r="H25" s="291"/>
      <c r="I25" s="290">
        <f>IF((C25-D25)&gt;25,(F25*(VLOOKUP(C25-D25,Bullervärdering!$E$3:$I$28,3)*(C25-D25)-VLOOKUP(C25-D25,Bullervärdering!$E$3:$I$28,3)*VLOOKUP(C25-D25,Bullervärdering!$E$3:$I$28,1)+VLOOKUP(C25-D25,Bullervärdering!$E$3:$I$28,2)-IF((C25-E25)&gt;25,(VLOOKUP(C25-E25,Bullervärdering!$E$3:$I$28,3)*(C25-E25)-VLOOKUP(C25-E25,Bullervärdering!$E$3:$I$28,3)*VLOOKUP(C25-E25,Bullervärdering!$E$3:$I$28,1)+VLOOKUP(C25-E25,Bullervärdering!$E$3:$I$28,2)),0))),0)</f>
        <v>0</v>
      </c>
      <c r="J25" s="289"/>
      <c r="K25" s="289"/>
      <c r="L25" s="289"/>
      <c r="M25" s="289"/>
      <c r="N25" s="289"/>
      <c r="P25" s="33"/>
      <c r="AP25" s="3"/>
    </row>
    <row r="26" spans="2:43" x14ac:dyDescent="0.25">
      <c r="B26" s="210"/>
      <c r="C26" s="59"/>
      <c r="D26" s="234">
        <v>30</v>
      </c>
      <c r="E26" s="111"/>
      <c r="F26" s="110"/>
      <c r="G26" s="242">
        <f t="shared" si="0"/>
        <v>0</v>
      </c>
      <c r="H26" s="291"/>
      <c r="I26" s="290">
        <f>IF((C26-D26)&gt;25,(F26*(VLOOKUP(C26-D26,Bullervärdering!$E$3:$I$28,3)*(C26-D26)-VLOOKUP(C26-D26,Bullervärdering!$E$3:$I$28,3)*VLOOKUP(C26-D26,Bullervärdering!$E$3:$I$28,1)+VLOOKUP(C26-D26,Bullervärdering!$E$3:$I$28,2)-IF((C26-E26)&gt;25,(VLOOKUP(C26-E26,Bullervärdering!$E$3:$I$28,3)*(C26-E26)-VLOOKUP(C26-E26,Bullervärdering!$E$3:$I$28,3)*VLOOKUP(C26-E26,Bullervärdering!$E$3:$I$28,1)+VLOOKUP(C26-E26,Bullervärdering!$E$3:$I$28,2)),0))),0)</f>
        <v>0</v>
      </c>
      <c r="J26" s="289"/>
      <c r="K26" s="289"/>
      <c r="L26" s="289"/>
      <c r="M26" s="289"/>
      <c r="N26" s="289"/>
      <c r="P26" s="33"/>
      <c r="AP26" s="3"/>
    </row>
    <row r="27" spans="2:43" x14ac:dyDescent="0.25">
      <c r="B27" s="210"/>
      <c r="C27" s="110"/>
      <c r="D27" s="234">
        <v>30</v>
      </c>
      <c r="E27" s="111"/>
      <c r="F27" s="110"/>
      <c r="G27" s="242">
        <f t="shared" si="0"/>
        <v>0</v>
      </c>
      <c r="H27" s="291"/>
      <c r="I27" s="290">
        <f>IF((C27-D27)&gt;25,(F27*(VLOOKUP(C27-D27,Bullervärdering!$E$3:$I$28,3)*(C27-D27)-VLOOKUP(C27-D27,Bullervärdering!$E$3:$I$28,3)*VLOOKUP(C27-D27,Bullervärdering!$E$3:$I$28,1)+VLOOKUP(C27-D27,Bullervärdering!$E$3:$I$28,2)-IF((C27-E27)&gt;25,(VLOOKUP(C27-E27,Bullervärdering!$E$3:$I$28,3)*(C27-E27)-VLOOKUP(C27-E27,Bullervärdering!$E$3:$I$28,3)*VLOOKUP(C27-E27,Bullervärdering!$E$3:$I$28,1)+VLOOKUP(C27-E27,Bullervärdering!$E$3:$I$28,2)),0))),0)</f>
        <v>0</v>
      </c>
      <c r="J27" s="289"/>
      <c r="K27" s="289"/>
      <c r="L27" s="289"/>
      <c r="M27" s="289"/>
      <c r="N27" s="289"/>
      <c r="P27" s="33"/>
      <c r="AP27" s="3"/>
    </row>
    <row r="28" spans="2:43" x14ac:dyDescent="0.25">
      <c r="B28" s="210"/>
      <c r="C28" s="110"/>
      <c r="D28" s="234">
        <v>30</v>
      </c>
      <c r="E28" s="111"/>
      <c r="F28" s="110"/>
      <c r="G28" s="242">
        <f t="shared" si="0"/>
        <v>0</v>
      </c>
      <c r="H28" s="291"/>
      <c r="I28" s="290">
        <f>IF((C28-D28)&gt;25,(F28*(VLOOKUP(C28-D28,Bullervärdering!$E$3:$I$28,3)*(C28-D28)-VLOOKUP(C28-D28,Bullervärdering!$E$3:$I$28,3)*VLOOKUP(C28-D28,Bullervärdering!$E$3:$I$28,1)+VLOOKUP(C28-D28,Bullervärdering!$E$3:$I$28,2)-IF((C28-E28)&gt;25,(VLOOKUP(C28-E28,Bullervärdering!$E$3:$I$28,3)*(C28-E28)-VLOOKUP(C28-E28,Bullervärdering!$E$3:$I$28,3)*VLOOKUP(C28-E28,Bullervärdering!$E$3:$I$28,1)+VLOOKUP(C28-E28,Bullervärdering!$E$3:$I$28,2)),0))),0)</f>
        <v>0</v>
      </c>
      <c r="J28" s="289"/>
      <c r="K28" s="289"/>
      <c r="L28" s="289"/>
      <c r="M28" s="289"/>
      <c r="N28" s="289"/>
      <c r="P28" s="33"/>
      <c r="AP28" s="3"/>
    </row>
    <row r="29" spans="2:43" x14ac:dyDescent="0.25">
      <c r="B29" s="210"/>
      <c r="C29" s="110"/>
      <c r="D29" s="234">
        <v>30</v>
      </c>
      <c r="E29" s="111"/>
      <c r="F29" s="110"/>
      <c r="G29" s="242">
        <f t="shared" si="0"/>
        <v>0</v>
      </c>
      <c r="H29" s="291"/>
      <c r="I29" s="290">
        <f>IF((C29-D29)&gt;25,(F29*(VLOOKUP(C29-D29,Bullervärdering!$E$3:$I$28,3)*(C29-D29)-VLOOKUP(C29-D29,Bullervärdering!$E$3:$I$28,3)*VLOOKUP(C29-D29,Bullervärdering!$E$3:$I$28,1)+VLOOKUP(C29-D29,Bullervärdering!$E$3:$I$28,2)-IF((C29-E29)&gt;25,(VLOOKUP(C29-E29,Bullervärdering!$E$3:$I$28,3)*(C29-E29)-VLOOKUP(C29-E29,Bullervärdering!$E$3:$I$28,3)*VLOOKUP(C29-E29,Bullervärdering!$E$3:$I$28,1)+VLOOKUP(C29-E29,Bullervärdering!$E$3:$I$28,2)),0))),0)</f>
        <v>0</v>
      </c>
      <c r="J29" s="289"/>
      <c r="K29" s="289"/>
      <c r="L29" s="289"/>
      <c r="M29" s="289"/>
      <c r="N29" s="289"/>
      <c r="P29" s="33"/>
      <c r="AP29" s="3"/>
    </row>
    <row r="30" spans="2:43" x14ac:dyDescent="0.25">
      <c r="B30" s="210"/>
      <c r="C30" s="110"/>
      <c r="D30" s="234">
        <v>30</v>
      </c>
      <c r="E30" s="111"/>
      <c r="F30" s="110"/>
      <c r="G30" s="242">
        <f t="shared" si="0"/>
        <v>0</v>
      </c>
      <c r="H30" s="291"/>
      <c r="I30" s="290">
        <f>IF((C30-D30)&gt;25,(F30*(VLOOKUP(C30-D30,Bullervärdering!$E$3:$I$28,3)*(C30-D30)-VLOOKUP(C30-D30,Bullervärdering!$E$3:$I$28,3)*VLOOKUP(C30-D30,Bullervärdering!$E$3:$I$28,1)+VLOOKUP(C30-D30,Bullervärdering!$E$3:$I$28,2)-IF((C30-E30)&gt;25,(VLOOKUP(C30-E30,Bullervärdering!$E$3:$I$28,3)*(C30-E30)-VLOOKUP(C30-E30,Bullervärdering!$E$3:$I$28,3)*VLOOKUP(C30-E30,Bullervärdering!$E$3:$I$28,1)+VLOOKUP(C30-E30,Bullervärdering!$E$3:$I$28,2)),0))),0)</f>
        <v>0</v>
      </c>
      <c r="J30" s="289"/>
      <c r="K30" s="289"/>
      <c r="L30" s="289"/>
      <c r="M30" s="289"/>
      <c r="N30" s="289"/>
      <c r="P30" s="33"/>
      <c r="AP30" s="3"/>
    </row>
    <row r="31" spans="2:43" x14ac:dyDescent="0.25">
      <c r="B31" s="210"/>
      <c r="C31" s="110"/>
      <c r="D31" s="234">
        <v>30</v>
      </c>
      <c r="E31" s="111"/>
      <c r="F31" s="110"/>
      <c r="G31" s="242">
        <f t="shared" si="0"/>
        <v>0</v>
      </c>
      <c r="H31" s="291"/>
      <c r="I31" s="290">
        <f>IF((C31-D31)&gt;25,(F31*(VLOOKUP(C31-D31,Bullervärdering!$E$3:$I$28,3)*(C31-D31)-VLOOKUP(C31-D31,Bullervärdering!$E$3:$I$28,3)*VLOOKUP(C31-D31,Bullervärdering!$E$3:$I$28,1)+VLOOKUP(C31-D31,Bullervärdering!$E$3:$I$28,2)-IF((C31-E31)&gt;25,(VLOOKUP(C31-E31,Bullervärdering!$E$3:$I$28,3)*(C31-E31)-VLOOKUP(C31-E31,Bullervärdering!$E$3:$I$28,3)*VLOOKUP(C31-E31,Bullervärdering!$E$3:$I$28,1)+VLOOKUP(C31-E31,Bullervärdering!$E$3:$I$28,2)),0))),0)</f>
        <v>0</v>
      </c>
      <c r="J31" s="289"/>
      <c r="K31" s="289"/>
      <c r="L31" s="289"/>
      <c r="M31" s="289"/>
      <c r="N31" s="289"/>
      <c r="P31" s="33"/>
      <c r="AP31" s="3"/>
    </row>
    <row r="32" spans="2:43" x14ac:dyDescent="0.25">
      <c r="B32" s="61" t="s">
        <v>36</v>
      </c>
      <c r="C32" s="79"/>
      <c r="D32" s="79"/>
      <c r="E32" s="79"/>
      <c r="F32" s="79"/>
      <c r="G32" s="79">
        <f>SUM(G17:G31)</f>
        <v>16414.694483386935</v>
      </c>
      <c r="H32" s="323"/>
      <c r="I32" s="290">
        <f>SUM(I17:I31)</f>
        <v>16414.694483386935</v>
      </c>
      <c r="J32" s="289"/>
      <c r="K32" s="289"/>
      <c r="L32" s="289"/>
      <c r="M32" s="289"/>
      <c r="N32" s="289"/>
      <c r="P32" s="33"/>
      <c r="AP32" s="3"/>
      <c r="AQ32" s="3"/>
    </row>
    <row r="33" spans="1:41" s="3" customFormat="1" x14ac:dyDescent="0.25">
      <c r="A33" s="33"/>
      <c r="E33" s="33"/>
      <c r="F33" s="33"/>
      <c r="G33" s="33"/>
      <c r="H33" s="33"/>
      <c r="I33" s="33"/>
      <c r="J33" s="33"/>
      <c r="K33" s="33"/>
      <c r="L33" s="33"/>
      <c r="M33" s="33"/>
      <c r="N33" s="33"/>
      <c r="O33" s="33"/>
    </row>
    <row r="34" spans="1:41" s="1" customFormat="1" ht="13" x14ac:dyDescent="0.3">
      <c r="A34" s="34"/>
      <c r="B34" s="6" t="s">
        <v>293</v>
      </c>
      <c r="C34" s="6"/>
      <c r="D34" s="6"/>
      <c r="E34" s="34"/>
      <c r="F34" s="34"/>
      <c r="G34" s="34"/>
      <c r="H34" s="34"/>
      <c r="I34" s="34"/>
      <c r="J34" s="34"/>
      <c r="K34" s="34"/>
      <c r="L34" s="34"/>
      <c r="M34" s="34"/>
      <c r="N34" s="34"/>
      <c r="O34" s="34"/>
      <c r="P34" s="2"/>
      <c r="Q34" s="2"/>
      <c r="R34" s="2"/>
      <c r="S34" s="2"/>
      <c r="T34" s="2"/>
      <c r="U34" s="2"/>
      <c r="V34" s="2"/>
      <c r="W34" s="2"/>
      <c r="X34" s="2"/>
      <c r="Y34" s="2"/>
      <c r="Z34" s="2"/>
      <c r="AA34" s="2"/>
      <c r="AB34" s="2"/>
      <c r="AC34" s="2"/>
      <c r="AD34" s="2"/>
      <c r="AE34" s="2"/>
      <c r="AF34" s="2"/>
      <c r="AG34" s="2"/>
      <c r="AH34" s="2"/>
      <c r="AI34" s="2"/>
      <c r="AJ34" s="2"/>
      <c r="AK34" s="2"/>
      <c r="AL34" s="2"/>
      <c r="AM34" s="2"/>
      <c r="AN34" s="2"/>
      <c r="AO34" s="2"/>
    </row>
    <row r="35" spans="1:41" s="35" customFormat="1" x14ac:dyDescent="0.25">
      <c r="A35" s="55"/>
      <c r="B35" s="66" t="s">
        <v>96</v>
      </c>
      <c r="C35" s="58">
        <v>10</v>
      </c>
      <c r="D35" s="66" t="s">
        <v>97</v>
      </c>
      <c r="E35" s="55"/>
      <c r="F35" s="55"/>
      <c r="G35" s="55"/>
      <c r="H35" s="55"/>
      <c r="I35" s="55"/>
      <c r="J35" s="55"/>
      <c r="K35" s="55"/>
      <c r="L35" s="55"/>
      <c r="M35" s="55"/>
      <c r="N35" s="55"/>
      <c r="O35" s="5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row>
    <row r="36" spans="1:41" s="35" customFormat="1" x14ac:dyDescent="0.25">
      <c r="A36" s="55"/>
      <c r="B36" s="66" t="s">
        <v>98</v>
      </c>
      <c r="C36" s="58">
        <v>10</v>
      </c>
      <c r="D36" s="66" t="s">
        <v>97</v>
      </c>
      <c r="E36" s="55"/>
      <c r="F36" s="55"/>
      <c r="G36" s="55"/>
      <c r="H36" s="55"/>
      <c r="I36" s="55"/>
      <c r="J36" s="55"/>
      <c r="K36" s="55"/>
      <c r="L36" s="55"/>
      <c r="M36" s="55"/>
      <c r="N36" s="55"/>
      <c r="O36" s="5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row>
    <row r="37" spans="1:41" s="1" customFormat="1" ht="13" x14ac:dyDescent="0.3">
      <c r="A37" s="34"/>
      <c r="B37" s="66" t="s">
        <v>18</v>
      </c>
      <c r="C37" s="107">
        <f>C35*Åtgärdskostnad!C5+C36*Åtgärdskostnad!C6</f>
        <v>201700</v>
      </c>
      <c r="D37" s="61" t="s">
        <v>10</v>
      </c>
      <c r="E37" s="34"/>
      <c r="F37" s="34"/>
      <c r="G37" s="34"/>
      <c r="H37" s="34"/>
      <c r="I37" s="34"/>
      <c r="J37" s="34"/>
      <c r="K37" s="34"/>
      <c r="L37" s="34"/>
      <c r="M37" s="34"/>
      <c r="N37" s="34"/>
      <c r="O37" s="34"/>
      <c r="P37" s="2"/>
      <c r="Q37" s="2"/>
      <c r="R37" s="2"/>
      <c r="S37" s="2"/>
      <c r="T37" s="2"/>
      <c r="U37" s="2"/>
      <c r="V37" s="2"/>
      <c r="W37" s="2"/>
      <c r="X37" s="2"/>
      <c r="Y37" s="2"/>
      <c r="Z37" s="2"/>
      <c r="AA37" s="2"/>
      <c r="AB37" s="2"/>
      <c r="AC37" s="2"/>
      <c r="AD37" s="2"/>
      <c r="AE37" s="2"/>
      <c r="AF37" s="2"/>
      <c r="AG37" s="2"/>
      <c r="AH37" s="2"/>
      <c r="AI37" s="2"/>
      <c r="AJ37" s="2"/>
      <c r="AK37" s="2"/>
      <c r="AL37" s="2"/>
      <c r="AM37" s="2"/>
      <c r="AN37" s="2"/>
      <c r="AO37" s="2"/>
    </row>
    <row r="38" spans="1:41" x14ac:dyDescent="0.25">
      <c r="B38" s="66" t="s">
        <v>81</v>
      </c>
      <c r="C38" s="70"/>
      <c r="D38" s="66" t="s">
        <v>10</v>
      </c>
      <c r="E38" s="33"/>
      <c r="F38" s="33"/>
      <c r="G38" s="33"/>
    </row>
    <row r="39" spans="1:41" x14ac:dyDescent="0.25">
      <c r="B39" s="66" t="s">
        <v>82</v>
      </c>
      <c r="C39" s="70"/>
      <c r="D39" s="61" t="s">
        <v>10</v>
      </c>
      <c r="E39" s="33"/>
      <c r="F39" s="33"/>
      <c r="G39" s="33"/>
    </row>
    <row r="40" spans="1:41" x14ac:dyDescent="0.25">
      <c r="B40" s="66" t="s">
        <v>75</v>
      </c>
      <c r="C40" s="80">
        <f>C37+C38+C39</f>
        <v>201700</v>
      </c>
      <c r="D40" s="61" t="s">
        <v>10</v>
      </c>
      <c r="E40" s="33"/>
      <c r="F40" s="33"/>
      <c r="G40" s="33"/>
    </row>
    <row r="41" spans="1:41" x14ac:dyDescent="0.25">
      <c r="B41" s="61" t="s">
        <v>8</v>
      </c>
      <c r="C41" s="70">
        <v>1000</v>
      </c>
      <c r="D41" s="61" t="s">
        <v>28</v>
      </c>
      <c r="E41" s="33"/>
      <c r="F41" s="33"/>
      <c r="G41" s="33"/>
    </row>
    <row r="42" spans="1:41" s="3" customFormat="1" x14ac:dyDescent="0.25">
      <c r="A42" s="33"/>
      <c r="E42" s="33"/>
      <c r="F42" s="33"/>
      <c r="G42" s="33"/>
      <c r="H42" s="33"/>
      <c r="I42" s="33"/>
      <c r="J42" s="33"/>
      <c r="K42" s="33"/>
      <c r="L42" s="33"/>
      <c r="M42" s="33"/>
      <c r="N42" s="33"/>
      <c r="O42" s="33"/>
    </row>
    <row r="43" spans="1:41" s="1" customFormat="1" ht="13" x14ac:dyDescent="0.3">
      <c r="A43" s="34"/>
      <c r="B43" s="6" t="s">
        <v>5</v>
      </c>
      <c r="C43" s="6"/>
      <c r="D43" s="6"/>
      <c r="E43" s="33"/>
      <c r="F43" s="34"/>
      <c r="G43" s="34"/>
      <c r="H43" s="34"/>
      <c r="I43" s="34"/>
      <c r="J43" s="34"/>
      <c r="K43" s="34"/>
      <c r="L43" s="34"/>
      <c r="M43" s="34"/>
      <c r="N43" s="34"/>
      <c r="O43" s="34"/>
      <c r="P43" s="2"/>
      <c r="Q43" s="2"/>
      <c r="R43" s="2"/>
      <c r="S43" s="2"/>
      <c r="T43" s="2"/>
      <c r="U43" s="2"/>
      <c r="V43" s="2"/>
      <c r="W43" s="2"/>
      <c r="X43" s="2"/>
      <c r="Y43" s="2"/>
      <c r="Z43" s="2"/>
      <c r="AA43" s="2"/>
      <c r="AB43" s="2"/>
      <c r="AC43" s="2"/>
      <c r="AD43" s="2"/>
      <c r="AE43" s="2"/>
      <c r="AF43" s="2"/>
      <c r="AG43" s="2"/>
      <c r="AH43" s="2"/>
      <c r="AI43" s="2"/>
      <c r="AJ43" s="2"/>
      <c r="AK43" s="2"/>
      <c r="AL43" s="2"/>
      <c r="AM43" s="2"/>
      <c r="AN43" s="2"/>
    </row>
    <row r="44" spans="1:41" x14ac:dyDescent="0.25">
      <c r="B44" s="210"/>
      <c r="C44" s="339"/>
      <c r="D44" s="340"/>
      <c r="E44" s="33"/>
      <c r="F44" s="33"/>
      <c r="G44" s="33"/>
      <c r="AO44"/>
    </row>
    <row r="45" spans="1:41" ht="13" x14ac:dyDescent="0.3">
      <c r="B45" s="210" t="s">
        <v>20</v>
      </c>
      <c r="C45" s="218">
        <f>C40</f>
        <v>201700</v>
      </c>
      <c r="D45" s="218"/>
      <c r="E45" s="33"/>
      <c r="F45" s="86"/>
      <c r="G45" s="86"/>
      <c r="H45" s="86"/>
      <c r="AO45"/>
    </row>
    <row r="46" spans="1:41" x14ac:dyDescent="0.25">
      <c r="B46" s="266"/>
      <c r="C46" s="345"/>
      <c r="D46" s="346"/>
      <c r="E46" s="33"/>
      <c r="F46" s="86"/>
      <c r="G46" s="86"/>
      <c r="H46" s="86"/>
      <c r="AO46"/>
    </row>
    <row r="47" spans="1:41" x14ac:dyDescent="0.25">
      <c r="B47" s="210"/>
      <c r="C47" s="339" t="s">
        <v>168</v>
      </c>
      <c r="D47" s="339" t="s">
        <v>41</v>
      </c>
      <c r="E47" s="33"/>
      <c r="F47" s="86"/>
      <c r="G47" s="86"/>
      <c r="H47" s="86"/>
      <c r="AO47"/>
    </row>
    <row r="48" spans="1:41" ht="13" x14ac:dyDescent="0.3">
      <c r="B48" s="210" t="s">
        <v>25</v>
      </c>
      <c r="C48" s="239">
        <v>0</v>
      </c>
      <c r="D48" s="239">
        <v>0</v>
      </c>
      <c r="E48" s="33"/>
      <c r="F48" s="33"/>
      <c r="G48" s="33"/>
      <c r="AO48"/>
    </row>
    <row r="49" spans="1:41" s="3" customFormat="1" x14ac:dyDescent="0.25">
      <c r="A49" s="33"/>
      <c r="B49" s="266"/>
      <c r="C49" s="266"/>
      <c r="D49" s="266"/>
      <c r="E49" s="33"/>
      <c r="F49" s="33"/>
      <c r="G49" s="33"/>
      <c r="H49" s="33"/>
      <c r="I49" s="33"/>
      <c r="J49" s="33"/>
      <c r="K49" s="33"/>
      <c r="L49" s="33"/>
      <c r="M49" s="33"/>
      <c r="N49" s="33"/>
      <c r="O49" s="33"/>
    </row>
    <row r="50" spans="1:41" x14ac:dyDescent="0.25">
      <c r="B50" s="210"/>
      <c r="C50" s="339" t="s">
        <v>139</v>
      </c>
      <c r="D50" s="339" t="s">
        <v>41</v>
      </c>
      <c r="E50" s="33"/>
      <c r="F50" s="33"/>
      <c r="G50" s="33"/>
      <c r="AO50"/>
    </row>
    <row r="51" spans="1:41" ht="13" x14ac:dyDescent="0.3">
      <c r="B51" s="210" t="s">
        <v>6</v>
      </c>
      <c r="C51" s="218">
        <f>G32</f>
        <v>16414.694483386935</v>
      </c>
      <c r="D51" s="240">
        <f>NuvFasad!C64</f>
        <v>260215.26597579542</v>
      </c>
      <c r="E51" s="33"/>
      <c r="F51" s="33"/>
      <c r="G51" s="33"/>
      <c r="AO51"/>
    </row>
    <row r="52" spans="1:41" s="3" customFormat="1" x14ac:dyDescent="0.25">
      <c r="A52" s="33"/>
      <c r="B52" s="17"/>
      <c r="C52" s="17"/>
      <c r="D52" s="17"/>
      <c r="E52" s="33"/>
      <c r="F52" s="33"/>
      <c r="G52" s="33"/>
      <c r="H52" s="33"/>
      <c r="I52" s="33"/>
      <c r="J52" s="33"/>
      <c r="K52" s="33"/>
      <c r="L52" s="33"/>
      <c r="M52" s="33"/>
      <c r="N52" s="33"/>
      <c r="O52" s="33"/>
    </row>
    <row r="53" spans="1:41" ht="13" x14ac:dyDescent="0.3">
      <c r="B53" s="210"/>
      <c r="C53" s="193" t="s">
        <v>41</v>
      </c>
      <c r="D53" s="354"/>
      <c r="E53" s="33"/>
      <c r="F53" s="86"/>
      <c r="G53" s="86"/>
      <c r="H53" s="86"/>
      <c r="AO53"/>
    </row>
    <row r="54" spans="1:41" ht="13" x14ac:dyDescent="0.3">
      <c r="B54" s="210" t="s">
        <v>4</v>
      </c>
      <c r="C54" s="214">
        <f>D51</f>
        <v>260215.26597579542</v>
      </c>
      <c r="D54" s="354"/>
      <c r="E54" s="33"/>
      <c r="F54" s="86"/>
      <c r="G54" s="86"/>
      <c r="H54" s="86"/>
      <c r="AO54"/>
    </row>
    <row r="55" spans="1:41" ht="13" x14ac:dyDescent="0.3">
      <c r="B55" s="216" t="s">
        <v>314</v>
      </c>
      <c r="C55" s="217">
        <f>C45+D48</f>
        <v>201700</v>
      </c>
      <c r="D55" s="354"/>
      <c r="E55" s="33"/>
      <c r="F55" s="86"/>
      <c r="G55" s="86"/>
      <c r="H55" s="86"/>
      <c r="AO55"/>
    </row>
    <row r="56" spans="1:41" ht="13" x14ac:dyDescent="0.3">
      <c r="B56" s="216" t="s">
        <v>315</v>
      </c>
      <c r="C56" s="217">
        <f>C55*C11</f>
        <v>40340</v>
      </c>
      <c r="D56" s="354"/>
      <c r="E56" s="33"/>
      <c r="F56" s="86"/>
      <c r="G56" s="86"/>
      <c r="H56" s="86"/>
      <c r="AO56"/>
    </row>
    <row r="57" spans="1:41" s="3" customFormat="1" x14ac:dyDescent="0.25">
      <c r="A57" s="33"/>
      <c r="D57" s="18"/>
      <c r="E57" s="33"/>
      <c r="F57" s="33"/>
      <c r="G57" s="33"/>
      <c r="H57" s="33"/>
      <c r="I57" s="33"/>
      <c r="J57" s="33"/>
      <c r="K57" s="33"/>
      <c r="L57" s="33"/>
      <c r="M57" s="33"/>
      <c r="N57" s="33"/>
      <c r="O57" s="33"/>
    </row>
    <row r="58" spans="1:41" s="5" customFormat="1" ht="17.5" x14ac:dyDescent="0.35">
      <c r="A58" s="31"/>
      <c r="B58" s="71" t="s">
        <v>267</v>
      </c>
      <c r="C58" s="352">
        <f>C54-C55-C56</f>
        <v>18175.265975795424</v>
      </c>
      <c r="D58" s="14"/>
      <c r="E58" s="4"/>
      <c r="F58" s="4"/>
      <c r="G58" s="4"/>
      <c r="H58" s="31"/>
      <c r="I58" s="31"/>
      <c r="J58" s="31"/>
      <c r="K58" s="31"/>
      <c r="L58" s="31"/>
      <c r="M58" s="31"/>
      <c r="N58" s="31"/>
      <c r="O58" s="31"/>
      <c r="P58" s="4"/>
      <c r="Q58" s="4"/>
      <c r="R58" s="4"/>
      <c r="S58" s="4"/>
      <c r="T58" s="4"/>
      <c r="U58" s="4"/>
      <c r="V58" s="4"/>
      <c r="W58" s="4"/>
      <c r="X58" s="4"/>
      <c r="Y58" s="4"/>
      <c r="Z58" s="4"/>
      <c r="AA58" s="4"/>
      <c r="AB58" s="4"/>
      <c r="AC58" s="4"/>
      <c r="AD58" s="4"/>
      <c r="AE58" s="4"/>
      <c r="AF58" s="4"/>
      <c r="AG58" s="4"/>
      <c r="AH58" s="4"/>
      <c r="AI58" s="4"/>
      <c r="AJ58" s="4"/>
      <c r="AK58" s="4"/>
      <c r="AL58" s="4"/>
      <c r="AM58" s="4"/>
      <c r="AN58" s="4"/>
      <c r="AO58" s="4"/>
    </row>
    <row r="59" spans="1:41" s="3" customFormat="1" x14ac:dyDescent="0.25">
      <c r="A59" s="33"/>
      <c r="C59" s="45"/>
      <c r="H59" s="33"/>
      <c r="I59" s="33"/>
      <c r="J59" s="33"/>
      <c r="K59" s="33"/>
      <c r="L59" s="33"/>
      <c r="M59" s="33"/>
      <c r="N59" s="33"/>
      <c r="O59" s="33"/>
    </row>
    <row r="60" spans="1:41" s="3" customFormat="1" ht="17.5" x14ac:dyDescent="0.35">
      <c r="A60" s="33"/>
      <c r="B60" s="71" t="s">
        <v>268</v>
      </c>
      <c r="C60" s="353">
        <f>C58/C55</f>
        <v>9.0110391550795366E-2</v>
      </c>
      <c r="H60" s="33"/>
      <c r="I60" s="33"/>
      <c r="J60" s="33"/>
      <c r="K60" s="33"/>
      <c r="L60" s="33"/>
      <c r="M60" s="33"/>
      <c r="N60" s="33"/>
      <c r="O60" s="33"/>
    </row>
    <row r="61" spans="1:41" s="3" customFormat="1" ht="9.75" customHeight="1" x14ac:dyDescent="0.35">
      <c r="A61" s="33"/>
      <c r="B61" s="189"/>
      <c r="C61" s="351"/>
      <c r="H61" s="33"/>
      <c r="I61" s="33"/>
      <c r="J61" s="33"/>
      <c r="K61" s="33"/>
      <c r="L61" s="33"/>
      <c r="M61" s="33"/>
      <c r="N61" s="33"/>
      <c r="O61" s="33"/>
    </row>
    <row r="62" spans="1:41" s="3" customFormat="1" ht="21.75" customHeight="1" x14ac:dyDescent="0.35">
      <c r="A62" s="33"/>
      <c r="B62" s="187" t="s">
        <v>277</v>
      </c>
      <c r="C62" s="353">
        <f>(C54-C56)/C55</f>
        <v>1.0901103915507953</v>
      </c>
      <c r="D62" s="204"/>
      <c r="H62" s="33"/>
      <c r="I62" s="33"/>
      <c r="J62" s="33"/>
      <c r="K62" s="33"/>
      <c r="L62" s="33"/>
      <c r="M62" s="33"/>
      <c r="N62" s="33"/>
      <c r="O62" s="33"/>
    </row>
    <row r="63" spans="1:41" s="3" customFormat="1" x14ac:dyDescent="0.25">
      <c r="A63" s="33"/>
      <c r="C63" s="45"/>
      <c r="H63" s="33"/>
      <c r="I63" s="33"/>
      <c r="J63" s="33"/>
      <c r="K63" s="33"/>
      <c r="L63" s="33"/>
      <c r="M63" s="33"/>
      <c r="N63" s="33"/>
      <c r="O63" s="33"/>
    </row>
    <row r="64" spans="1:41" s="3" customFormat="1" x14ac:dyDescent="0.25">
      <c r="A64" s="33"/>
      <c r="H64" s="33"/>
      <c r="I64" s="33"/>
      <c r="J64" s="33"/>
      <c r="K64" s="33"/>
      <c r="L64" s="33"/>
      <c r="M64" s="33"/>
      <c r="N64" s="33"/>
      <c r="O64" s="33"/>
    </row>
    <row r="65" spans="1:15" s="3" customFormat="1" x14ac:dyDescent="0.25">
      <c r="A65" s="33"/>
      <c r="H65" s="33"/>
      <c r="I65" s="33"/>
      <c r="J65" s="33"/>
      <c r="K65" s="33"/>
      <c r="L65" s="33"/>
      <c r="M65" s="33"/>
      <c r="N65" s="33"/>
      <c r="O65" s="33"/>
    </row>
    <row r="66" spans="1:15" s="3" customFormat="1" x14ac:dyDescent="0.25">
      <c r="A66" s="33"/>
      <c r="H66" s="33"/>
      <c r="I66" s="33"/>
      <c r="J66" s="33"/>
      <c r="K66" s="33"/>
      <c r="L66" s="33"/>
      <c r="M66" s="33"/>
      <c r="N66" s="33"/>
      <c r="O66" s="33"/>
    </row>
    <row r="67" spans="1:15" s="3" customFormat="1" x14ac:dyDescent="0.25">
      <c r="A67" s="33"/>
      <c r="H67" s="33"/>
      <c r="I67" s="33"/>
      <c r="J67" s="33"/>
      <c r="K67" s="33"/>
      <c r="L67" s="33"/>
      <c r="M67" s="33"/>
      <c r="N67" s="33"/>
      <c r="O67" s="33"/>
    </row>
    <row r="68" spans="1:15" s="3" customFormat="1" x14ac:dyDescent="0.25">
      <c r="A68" s="33"/>
      <c r="H68" s="33"/>
      <c r="I68" s="33"/>
      <c r="J68" s="33"/>
      <c r="K68" s="33"/>
      <c r="L68" s="33"/>
      <c r="M68" s="33"/>
      <c r="N68" s="33"/>
      <c r="O68" s="33"/>
    </row>
    <row r="69" spans="1:15" s="3" customFormat="1" x14ac:dyDescent="0.25">
      <c r="A69" s="33"/>
      <c r="H69" s="33"/>
      <c r="I69" s="33"/>
      <c r="J69" s="33"/>
      <c r="K69" s="33"/>
      <c r="L69" s="33"/>
      <c r="M69" s="33"/>
      <c r="N69" s="33"/>
      <c r="O69" s="33"/>
    </row>
    <row r="70" spans="1:15" s="3" customFormat="1" x14ac:dyDescent="0.25">
      <c r="A70" s="33"/>
      <c r="H70" s="33"/>
      <c r="I70" s="33"/>
      <c r="J70" s="33"/>
      <c r="K70" s="33"/>
      <c r="L70" s="33"/>
      <c r="M70" s="33"/>
      <c r="N70" s="33"/>
      <c r="O70" s="33"/>
    </row>
    <row r="71" spans="1:15" s="3" customFormat="1" x14ac:dyDescent="0.25">
      <c r="A71" s="33"/>
      <c r="H71" s="33"/>
      <c r="I71" s="33"/>
      <c r="J71" s="33"/>
      <c r="K71" s="33"/>
      <c r="L71" s="33"/>
      <c r="M71" s="33"/>
      <c r="N71" s="33"/>
      <c r="O71" s="33"/>
    </row>
    <row r="72" spans="1:15" s="3" customFormat="1" x14ac:dyDescent="0.25">
      <c r="A72" s="33"/>
      <c r="H72" s="33"/>
      <c r="I72" s="33"/>
      <c r="J72" s="33"/>
      <c r="K72" s="33"/>
      <c r="L72" s="33"/>
      <c r="M72" s="33"/>
      <c r="N72" s="33"/>
      <c r="O72" s="33"/>
    </row>
    <row r="73" spans="1:15" s="3" customFormat="1" x14ac:dyDescent="0.25">
      <c r="A73" s="33"/>
      <c r="H73" s="33"/>
      <c r="I73" s="33"/>
      <c r="J73" s="33"/>
      <c r="K73" s="33"/>
      <c r="L73" s="33"/>
      <c r="M73" s="33"/>
      <c r="N73" s="33"/>
      <c r="O73" s="33"/>
    </row>
    <row r="74" spans="1:15" s="3" customFormat="1" x14ac:dyDescent="0.25">
      <c r="A74" s="33"/>
      <c r="H74" s="33"/>
      <c r="I74" s="33"/>
      <c r="J74" s="33"/>
      <c r="K74" s="33"/>
      <c r="L74" s="33"/>
      <c r="M74" s="33"/>
      <c r="N74" s="33"/>
      <c r="O74" s="33"/>
    </row>
    <row r="75" spans="1:15" s="3" customFormat="1" x14ac:dyDescent="0.25">
      <c r="A75" s="33"/>
      <c r="H75" s="33"/>
      <c r="I75" s="33"/>
      <c r="J75" s="33"/>
      <c r="K75" s="33"/>
      <c r="L75" s="33"/>
      <c r="M75" s="33"/>
      <c r="N75" s="33"/>
      <c r="O75" s="33"/>
    </row>
    <row r="76" spans="1:15" s="3" customFormat="1" x14ac:dyDescent="0.25">
      <c r="A76" s="33"/>
      <c r="H76" s="33"/>
      <c r="I76" s="33"/>
      <c r="J76" s="33"/>
      <c r="K76" s="33"/>
      <c r="L76" s="33"/>
      <c r="M76" s="33"/>
      <c r="N76" s="33"/>
      <c r="O76" s="33"/>
    </row>
    <row r="77" spans="1:15" s="3" customFormat="1" x14ac:dyDescent="0.25">
      <c r="A77" s="33"/>
      <c r="H77" s="33"/>
      <c r="I77" s="33"/>
      <c r="J77" s="33"/>
      <c r="K77" s="33"/>
      <c r="L77" s="33"/>
      <c r="M77" s="33"/>
      <c r="N77" s="33"/>
      <c r="O77" s="33"/>
    </row>
    <row r="78" spans="1:15" s="3" customFormat="1" x14ac:dyDescent="0.25">
      <c r="A78" s="33"/>
      <c r="H78" s="33"/>
      <c r="I78" s="33"/>
      <c r="J78" s="33"/>
      <c r="K78" s="33"/>
      <c r="L78" s="33"/>
      <c r="M78" s="33"/>
      <c r="N78" s="33"/>
      <c r="O78" s="33"/>
    </row>
    <row r="79" spans="1:15" s="3" customFormat="1" x14ac:dyDescent="0.25">
      <c r="A79" s="33"/>
      <c r="H79" s="33"/>
      <c r="I79" s="33"/>
      <c r="J79" s="33"/>
      <c r="K79" s="33"/>
      <c r="L79" s="33"/>
      <c r="M79" s="33"/>
      <c r="N79" s="33"/>
      <c r="O79" s="33"/>
    </row>
    <row r="80" spans="1:15" s="3" customFormat="1" x14ac:dyDescent="0.25">
      <c r="A80" s="33"/>
      <c r="H80" s="33"/>
      <c r="I80" s="33"/>
      <c r="J80" s="33"/>
      <c r="K80" s="33"/>
      <c r="L80" s="33"/>
      <c r="M80" s="33"/>
      <c r="N80" s="33"/>
      <c r="O80" s="33"/>
    </row>
    <row r="81" spans="1:15" s="3" customFormat="1" x14ac:dyDescent="0.25">
      <c r="A81" s="33"/>
      <c r="H81" s="33"/>
      <c r="I81" s="33"/>
      <c r="J81" s="33"/>
      <c r="K81" s="33"/>
      <c r="L81" s="33"/>
      <c r="M81" s="33"/>
      <c r="N81" s="33"/>
      <c r="O81" s="33"/>
    </row>
    <row r="82" spans="1:15" s="3" customFormat="1" x14ac:dyDescent="0.25">
      <c r="A82" s="33"/>
      <c r="H82" s="33"/>
      <c r="I82" s="33"/>
      <c r="J82" s="33"/>
      <c r="K82" s="33"/>
      <c r="L82" s="33"/>
      <c r="M82" s="33"/>
      <c r="N82" s="33"/>
      <c r="O82" s="33"/>
    </row>
    <row r="83" spans="1:15" s="3" customFormat="1" x14ac:dyDescent="0.25">
      <c r="A83" s="33"/>
      <c r="H83" s="33"/>
      <c r="I83" s="33"/>
      <c r="J83" s="33"/>
      <c r="K83" s="33"/>
      <c r="L83" s="33"/>
      <c r="M83" s="33"/>
      <c r="N83" s="33"/>
      <c r="O83" s="33"/>
    </row>
    <row r="84" spans="1:15" s="3" customFormat="1" x14ac:dyDescent="0.25">
      <c r="A84" s="33"/>
      <c r="H84" s="33"/>
      <c r="I84" s="33"/>
      <c r="J84" s="33"/>
      <c r="K84" s="33"/>
      <c r="L84" s="33"/>
      <c r="M84" s="33"/>
      <c r="N84" s="33"/>
      <c r="O84" s="33"/>
    </row>
    <row r="85" spans="1:15" s="3" customFormat="1" x14ac:dyDescent="0.25">
      <c r="A85" s="33"/>
      <c r="H85" s="33"/>
      <c r="I85" s="33"/>
      <c r="J85" s="33"/>
      <c r="K85" s="33"/>
      <c r="L85" s="33"/>
      <c r="M85" s="33"/>
      <c r="N85" s="33"/>
      <c r="O85" s="33"/>
    </row>
    <row r="86" spans="1:15" s="3" customFormat="1" x14ac:dyDescent="0.25">
      <c r="A86" s="33"/>
      <c r="H86" s="33"/>
      <c r="I86" s="33"/>
      <c r="J86" s="33"/>
      <c r="K86" s="33"/>
      <c r="L86" s="33"/>
      <c r="M86" s="33"/>
      <c r="N86" s="33"/>
      <c r="O86" s="33"/>
    </row>
    <row r="87" spans="1:15" s="3" customFormat="1" x14ac:dyDescent="0.25">
      <c r="A87" s="33"/>
      <c r="H87" s="33"/>
      <c r="I87" s="33"/>
      <c r="J87" s="33"/>
      <c r="K87" s="33"/>
      <c r="L87" s="33"/>
      <c r="M87" s="33"/>
      <c r="N87" s="33"/>
      <c r="O87" s="33"/>
    </row>
    <row r="88" spans="1:15" s="3" customFormat="1" x14ac:dyDescent="0.25">
      <c r="A88" s="33"/>
      <c r="H88" s="33"/>
      <c r="I88" s="33"/>
      <c r="J88" s="33"/>
      <c r="K88" s="33"/>
      <c r="L88" s="33"/>
      <c r="M88" s="33"/>
      <c r="N88" s="33"/>
      <c r="O88" s="33"/>
    </row>
    <row r="89" spans="1:15" s="3" customFormat="1" x14ac:dyDescent="0.25">
      <c r="A89" s="33"/>
      <c r="H89" s="33"/>
      <c r="I89" s="33"/>
      <c r="J89" s="33"/>
      <c r="K89" s="33"/>
      <c r="L89" s="33"/>
      <c r="M89" s="33"/>
      <c r="N89" s="33"/>
      <c r="O89" s="33"/>
    </row>
  </sheetData>
  <phoneticPr fontId="0" type="noConversion"/>
  <conditionalFormatting sqref="C60">
    <cfRule type="cellIs" dxfId="14" priority="6" operator="lessThan">
      <formula>0</formula>
    </cfRule>
  </conditionalFormatting>
  <conditionalFormatting sqref="C61">
    <cfRule type="cellIs" dxfId="13" priority="5" operator="lessThan">
      <formula>0</formula>
    </cfRule>
  </conditionalFormatting>
  <conditionalFormatting sqref="C17:C31">
    <cfRule type="iconSet" priority="2">
      <iconSet iconSet="3Symbols" reverse="1">
        <cfvo type="percent" val="0"/>
        <cfvo type="num" val="75.001000000000005"/>
        <cfvo type="num" val="75.001999999999995"/>
      </iconSet>
    </cfRule>
  </conditionalFormatting>
  <conditionalFormatting sqref="C58">
    <cfRule type="cellIs" dxfId="12" priority="1" operator="lessThan">
      <formula>0</formula>
    </cfRule>
  </conditionalFormatting>
  <dataValidations count="1">
    <dataValidation type="decimal" allowBlank="1" showInputMessage="1" showErrorMessage="1" sqref="C17:C31" xr:uid="{00000000-0002-0000-0100-000000000000}">
      <formula1>0</formula1>
      <formula2>75</formula2>
    </dataValidation>
  </dataValidations>
  <pageMargins left="0.75" right="0.75" top="1" bottom="1" header="0.5" footer="0.5"/>
  <pageSetup paperSize="9" orientation="landscape" horizontalDpi="300" verticalDpi="300"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Åtgärdskostnad!$B$5:$B$5</xm:f>
          </x14:formula1>
          <xm:sqref>H17:H31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1738"/>
  <sheetViews>
    <sheetView zoomScaleNormal="100" workbookViewId="0">
      <selection activeCell="E70" sqref="E70"/>
    </sheetView>
  </sheetViews>
  <sheetFormatPr defaultRowHeight="12.5" x14ac:dyDescent="0.25"/>
  <cols>
    <col min="1" max="1" width="3.7265625" style="33" customWidth="1"/>
    <col min="2" max="2" width="41.26953125" customWidth="1"/>
    <col min="3" max="3" width="23.1796875" customWidth="1"/>
    <col min="4" max="4" width="23.81640625" customWidth="1"/>
    <col min="5" max="5" width="16.453125" customWidth="1"/>
    <col min="6" max="6" width="14.54296875" customWidth="1"/>
    <col min="7" max="7" width="11.26953125" customWidth="1"/>
    <col min="8" max="10" width="11.26953125" style="15" customWidth="1"/>
    <col min="11" max="11" width="11.1796875" style="15" customWidth="1"/>
    <col min="12" max="15" width="9.1796875" style="33" customWidth="1"/>
    <col min="16" max="22" width="9.1796875" style="33"/>
    <col min="23" max="42" width="9.1796875" style="3"/>
  </cols>
  <sheetData>
    <row r="1" spans="1:42" s="5" customFormat="1" ht="17.5" x14ac:dyDescent="0.35">
      <c r="A1" s="31"/>
      <c r="B1" s="71" t="s">
        <v>308</v>
      </c>
      <c r="C1" s="71"/>
      <c r="D1" s="71"/>
      <c r="E1" s="71"/>
      <c r="F1" s="4"/>
      <c r="G1" s="4"/>
      <c r="H1" s="3"/>
      <c r="I1" s="3"/>
      <c r="J1" s="3"/>
      <c r="K1" s="33"/>
      <c r="L1" s="33"/>
      <c r="M1" s="33"/>
      <c r="N1" s="33"/>
      <c r="O1" s="33"/>
      <c r="P1" s="31"/>
      <c r="Q1" s="31"/>
      <c r="R1" s="31"/>
      <c r="S1" s="31"/>
      <c r="T1" s="31"/>
      <c r="U1" s="31"/>
      <c r="V1" s="31"/>
      <c r="W1" s="4"/>
      <c r="X1" s="4"/>
      <c r="Y1" s="4"/>
      <c r="Z1" s="4"/>
      <c r="AA1" s="4"/>
      <c r="AB1" s="4"/>
      <c r="AC1" s="4"/>
      <c r="AD1" s="4"/>
      <c r="AE1" s="4"/>
      <c r="AF1" s="4"/>
      <c r="AG1" s="4"/>
      <c r="AH1" s="4"/>
      <c r="AI1" s="4"/>
      <c r="AJ1" s="4"/>
      <c r="AK1" s="4"/>
      <c r="AL1" s="4"/>
      <c r="AM1" s="4"/>
      <c r="AN1" s="4"/>
    </row>
    <row r="2" spans="1:42" s="8" customFormat="1" x14ac:dyDescent="0.25">
      <c r="A2" s="32"/>
      <c r="B2" s="72" t="s">
        <v>93</v>
      </c>
      <c r="C2" s="73"/>
      <c r="D2" s="73"/>
      <c r="E2" s="73"/>
      <c r="F2" s="7"/>
      <c r="G2" s="7"/>
      <c r="H2" s="3"/>
      <c r="I2" s="3"/>
      <c r="J2" s="3"/>
      <c r="K2" s="33"/>
      <c r="L2" s="33"/>
      <c r="M2" s="33"/>
      <c r="N2" s="33"/>
      <c r="O2" s="33"/>
      <c r="P2" s="32"/>
      <c r="Q2" s="32"/>
      <c r="R2" s="32"/>
      <c r="S2" s="32"/>
      <c r="T2" s="32"/>
      <c r="U2" s="32"/>
      <c r="V2" s="32"/>
      <c r="W2" s="7"/>
      <c r="X2" s="7"/>
      <c r="Y2" s="7"/>
      <c r="Z2" s="7"/>
      <c r="AA2" s="7"/>
      <c r="AB2" s="7"/>
      <c r="AC2" s="7"/>
      <c r="AD2" s="7"/>
      <c r="AE2" s="7"/>
      <c r="AF2" s="7"/>
      <c r="AG2" s="7"/>
      <c r="AH2" s="7"/>
      <c r="AI2" s="7"/>
      <c r="AJ2" s="7"/>
      <c r="AK2" s="7"/>
      <c r="AL2" s="7"/>
      <c r="AM2" s="7"/>
      <c r="AN2" s="7"/>
    </row>
    <row r="3" spans="1:42" s="8" customFormat="1" x14ac:dyDescent="0.25">
      <c r="A3" s="32"/>
      <c r="B3" s="74" t="s">
        <v>16</v>
      </c>
      <c r="C3" s="73"/>
      <c r="D3" s="73"/>
      <c r="E3" s="73"/>
      <c r="F3" s="7"/>
      <c r="G3" s="7"/>
      <c r="H3" s="3"/>
      <c r="I3" s="3"/>
      <c r="J3" s="3"/>
      <c r="K3" s="33"/>
      <c r="L3" s="33"/>
      <c r="M3" s="33"/>
      <c r="N3" s="33"/>
      <c r="O3" s="33"/>
      <c r="P3" s="32"/>
      <c r="Q3" s="32"/>
      <c r="R3" s="32"/>
      <c r="S3" s="32"/>
      <c r="T3" s="32"/>
      <c r="U3" s="32"/>
      <c r="V3" s="32"/>
      <c r="W3" s="7"/>
      <c r="X3" s="7"/>
      <c r="Y3" s="7"/>
      <c r="Z3" s="7"/>
      <c r="AA3" s="7"/>
      <c r="AB3" s="7"/>
      <c r="AC3" s="7"/>
      <c r="AD3" s="7"/>
      <c r="AE3" s="7"/>
      <c r="AF3" s="7"/>
      <c r="AG3" s="7"/>
      <c r="AH3" s="7"/>
      <c r="AI3" s="7"/>
      <c r="AJ3" s="7"/>
      <c r="AK3" s="7"/>
      <c r="AL3" s="7"/>
      <c r="AM3" s="7"/>
      <c r="AN3" s="7"/>
    </row>
    <row r="4" spans="1:42" s="8" customFormat="1" x14ac:dyDescent="0.25">
      <c r="A4" s="32"/>
      <c r="B4" s="73" t="s">
        <v>17</v>
      </c>
      <c r="C4" s="73"/>
      <c r="D4" s="73"/>
      <c r="E4" s="73"/>
      <c r="F4" s="7"/>
      <c r="G4" s="7"/>
      <c r="H4" s="3"/>
      <c r="I4" s="3"/>
      <c r="J4" s="3"/>
      <c r="K4" s="33"/>
      <c r="L4" s="33"/>
      <c r="M4" s="33"/>
      <c r="N4" s="33"/>
      <c r="O4" s="33"/>
      <c r="P4" s="32"/>
      <c r="Q4" s="32"/>
      <c r="R4" s="32"/>
      <c r="S4" s="32"/>
      <c r="T4" s="32"/>
      <c r="U4" s="32"/>
      <c r="V4" s="32"/>
      <c r="W4" s="7"/>
      <c r="X4" s="7"/>
      <c r="Y4" s="7"/>
      <c r="Z4" s="7"/>
      <c r="AA4" s="7"/>
      <c r="AB4" s="7"/>
      <c r="AC4" s="7"/>
      <c r="AD4" s="7"/>
      <c r="AE4" s="7"/>
      <c r="AF4" s="7"/>
      <c r="AG4" s="7"/>
      <c r="AH4" s="7"/>
      <c r="AI4" s="7"/>
      <c r="AJ4" s="7"/>
      <c r="AK4" s="7"/>
      <c r="AL4" s="7"/>
      <c r="AM4" s="7"/>
      <c r="AN4" s="7"/>
    </row>
    <row r="5" spans="1:42" s="3" customFormat="1" x14ac:dyDescent="0.25">
      <c r="A5" s="33"/>
      <c r="K5" s="33"/>
      <c r="L5" s="33"/>
      <c r="M5" s="33"/>
      <c r="N5" s="33"/>
      <c r="O5" s="33"/>
      <c r="P5" s="33"/>
      <c r="Q5" s="33"/>
      <c r="R5" s="33"/>
      <c r="S5" s="33"/>
      <c r="T5" s="33"/>
      <c r="U5" s="33"/>
      <c r="V5" s="33"/>
    </row>
    <row r="6" spans="1:42" s="1" customFormat="1" ht="13" x14ac:dyDescent="0.3">
      <c r="A6" s="34"/>
      <c r="B6" s="6" t="s">
        <v>0</v>
      </c>
      <c r="C6" s="6"/>
      <c r="D6" s="34"/>
      <c r="E6" s="41"/>
      <c r="F6" s="41"/>
      <c r="G6" s="34"/>
      <c r="H6" s="33"/>
      <c r="I6" s="33"/>
      <c r="J6" s="33"/>
      <c r="K6" s="33"/>
      <c r="L6" s="33"/>
      <c r="M6" s="33"/>
      <c r="N6" s="33"/>
      <c r="O6" s="33"/>
      <c r="P6" s="34"/>
      <c r="Q6" s="34"/>
      <c r="R6" s="34"/>
      <c r="S6" s="34"/>
      <c r="T6" s="34"/>
      <c r="U6" s="34"/>
      <c r="V6" s="34"/>
      <c r="W6" s="2"/>
      <c r="X6" s="2"/>
      <c r="Y6" s="2"/>
      <c r="Z6" s="2"/>
      <c r="AA6" s="2"/>
      <c r="AB6" s="2"/>
      <c r="AC6" s="2"/>
      <c r="AD6" s="2"/>
      <c r="AE6" s="2"/>
      <c r="AF6" s="2"/>
      <c r="AG6" s="2"/>
      <c r="AH6" s="2"/>
      <c r="AI6" s="2"/>
      <c r="AJ6" s="2"/>
      <c r="AK6" s="2"/>
      <c r="AL6" s="2"/>
      <c r="AM6" s="2"/>
      <c r="AN6" s="2"/>
      <c r="AO6" s="2"/>
      <c r="AP6" s="2"/>
    </row>
    <row r="7" spans="1:42" ht="14.25" customHeight="1" x14ac:dyDescent="0.25">
      <c r="B7" s="306" t="s">
        <v>313</v>
      </c>
      <c r="C7" s="226"/>
      <c r="D7" s="33"/>
      <c r="E7" s="40"/>
      <c r="F7" s="40"/>
      <c r="G7" s="33"/>
      <c r="H7" s="33"/>
      <c r="I7" s="33"/>
      <c r="J7" s="33"/>
      <c r="K7" s="33"/>
    </row>
    <row r="8" spans="1:42" x14ac:dyDescent="0.25">
      <c r="B8" s="213" t="s">
        <v>55</v>
      </c>
      <c r="C8" s="227">
        <v>20</v>
      </c>
      <c r="D8" s="33"/>
      <c r="E8" s="40"/>
      <c r="F8" s="40"/>
      <c r="G8" s="33"/>
      <c r="H8" s="33"/>
      <c r="I8" s="33"/>
      <c r="J8" s="33"/>
      <c r="K8" s="33"/>
    </row>
    <row r="9" spans="1:42" x14ac:dyDescent="0.25">
      <c r="B9" s="213" t="s">
        <v>137</v>
      </c>
      <c r="C9" s="227">
        <v>20</v>
      </c>
      <c r="D9" s="86"/>
      <c r="E9" s="40"/>
      <c r="F9" s="40"/>
      <c r="G9" s="33"/>
      <c r="H9" s="33"/>
      <c r="I9" s="33"/>
      <c r="J9" s="33"/>
      <c r="K9" s="33"/>
    </row>
    <row r="10" spans="1:42" x14ac:dyDescent="0.25">
      <c r="B10" s="213" t="s">
        <v>89</v>
      </c>
      <c r="C10" s="227">
        <v>30</v>
      </c>
      <c r="D10" s="86"/>
      <c r="E10" s="40"/>
      <c r="F10" s="40"/>
      <c r="G10" s="33"/>
      <c r="H10" s="33"/>
      <c r="I10" s="33"/>
      <c r="J10" s="33"/>
      <c r="K10" s="33"/>
    </row>
    <row r="11" spans="1:42" x14ac:dyDescent="0.25">
      <c r="B11" s="213" t="s">
        <v>2</v>
      </c>
      <c r="C11" s="227">
        <v>3.5000000000000003E-2</v>
      </c>
      <c r="D11" s="33"/>
      <c r="E11" s="40"/>
      <c r="F11" s="40"/>
      <c r="G11" s="33"/>
      <c r="H11" s="33"/>
      <c r="I11" s="33"/>
      <c r="J11" s="33"/>
      <c r="K11" s="33"/>
    </row>
    <row r="12" spans="1:42" x14ac:dyDescent="0.25">
      <c r="B12" s="213" t="s">
        <v>297</v>
      </c>
      <c r="C12" s="307">
        <v>0.2</v>
      </c>
      <c r="D12" s="86"/>
      <c r="E12" s="40"/>
      <c r="F12" s="40"/>
      <c r="G12" s="33"/>
      <c r="H12" s="33"/>
      <c r="I12" s="33"/>
      <c r="J12" s="33"/>
      <c r="K12" s="33"/>
    </row>
    <row r="13" spans="1:42" x14ac:dyDescent="0.25">
      <c r="B13" s="213" t="s">
        <v>141</v>
      </c>
      <c r="C13" s="305">
        <v>1.15E-2</v>
      </c>
      <c r="D13" s="86"/>
      <c r="E13" s="40"/>
      <c r="F13" s="40"/>
      <c r="G13" s="33"/>
      <c r="H13" s="33"/>
      <c r="I13" s="33"/>
      <c r="J13" s="33"/>
      <c r="K13" s="33"/>
    </row>
    <row r="14" spans="1:42" x14ac:dyDescent="0.25">
      <c r="B14" s="213" t="s">
        <v>57</v>
      </c>
      <c r="C14" s="228">
        <v>0</v>
      </c>
      <c r="D14" s="86"/>
      <c r="E14" s="40"/>
      <c r="F14" s="40"/>
      <c r="G14" s="33"/>
      <c r="H14" s="33"/>
      <c r="I14" s="33"/>
      <c r="J14" s="33"/>
      <c r="K14" s="33"/>
    </row>
    <row r="15" spans="1:42" s="3" customFormat="1" ht="13" x14ac:dyDescent="0.3">
      <c r="A15" s="34"/>
      <c r="B15" s="19"/>
      <c r="C15" s="19"/>
      <c r="D15" s="19"/>
      <c r="E15" s="19"/>
      <c r="F15" s="19"/>
      <c r="G15" s="19"/>
      <c r="K15" s="33"/>
      <c r="L15" s="33"/>
      <c r="M15" s="33"/>
      <c r="N15" s="33"/>
      <c r="O15" s="33"/>
      <c r="P15" s="33"/>
      <c r="Q15" s="33"/>
      <c r="R15" s="33"/>
      <c r="S15" s="33"/>
      <c r="T15" s="33"/>
      <c r="U15" s="33"/>
      <c r="V15" s="33"/>
    </row>
    <row r="16" spans="1:42" s="1" customFormat="1" ht="13" x14ac:dyDescent="0.3">
      <c r="A16" s="33"/>
      <c r="B16" s="6" t="s">
        <v>278</v>
      </c>
      <c r="C16" s="6"/>
      <c r="D16" s="6"/>
      <c r="E16" s="6"/>
      <c r="F16" s="6"/>
      <c r="G16" s="6"/>
      <c r="H16" s="6"/>
      <c r="I16" s="6"/>
      <c r="J16" s="6"/>
      <c r="K16" s="42"/>
      <c r="L16" s="42"/>
      <c r="M16" s="42"/>
      <c r="N16" s="33"/>
      <c r="O16" s="33"/>
      <c r="P16" s="34"/>
      <c r="Q16" s="34"/>
      <c r="R16" s="34"/>
      <c r="S16" s="34"/>
      <c r="T16" s="34"/>
      <c r="U16" s="34"/>
      <c r="V16" s="34"/>
      <c r="W16" s="2"/>
      <c r="X16" s="2"/>
      <c r="Y16" s="2"/>
      <c r="Z16" s="2"/>
      <c r="AA16" s="2"/>
      <c r="AB16" s="2"/>
      <c r="AC16" s="2"/>
      <c r="AD16" s="2"/>
      <c r="AE16" s="2"/>
      <c r="AF16" s="2"/>
      <c r="AG16" s="2"/>
      <c r="AH16" s="2"/>
      <c r="AI16" s="2"/>
      <c r="AJ16" s="2"/>
      <c r="AK16" s="2"/>
      <c r="AL16" s="2"/>
      <c r="AM16" s="2"/>
      <c r="AN16" s="2"/>
      <c r="AO16" s="2"/>
      <c r="AP16" s="2"/>
    </row>
    <row r="17" spans="2:44" ht="42" customHeight="1" x14ac:dyDescent="0.25">
      <c r="B17" s="191" t="s">
        <v>271</v>
      </c>
      <c r="C17" s="340" t="s">
        <v>276</v>
      </c>
      <c r="D17" s="340" t="s">
        <v>94</v>
      </c>
      <c r="E17" s="339" t="s">
        <v>105</v>
      </c>
      <c r="F17" s="340" t="s">
        <v>106</v>
      </c>
      <c r="G17" s="340" t="s">
        <v>9</v>
      </c>
      <c r="H17" s="340" t="s">
        <v>3</v>
      </c>
      <c r="I17" s="340" t="s">
        <v>51</v>
      </c>
      <c r="J17" s="340" t="s">
        <v>52</v>
      </c>
      <c r="K17" s="324" t="s">
        <v>52</v>
      </c>
      <c r="L17" s="324" t="s">
        <v>273</v>
      </c>
      <c r="M17" s="324">
        <v>50</v>
      </c>
      <c r="N17" s="289"/>
      <c r="O17" s="289"/>
      <c r="P17" s="289"/>
      <c r="Q17" s="289"/>
      <c r="R17" s="289"/>
      <c r="S17" s="289"/>
      <c r="T17" s="289"/>
      <c r="AQ17" s="3"/>
      <c r="AR17" s="3"/>
    </row>
    <row r="18" spans="2:44" x14ac:dyDescent="0.25">
      <c r="B18" s="210"/>
      <c r="C18" s="16">
        <v>67</v>
      </c>
      <c r="D18" s="229">
        <v>30</v>
      </c>
      <c r="E18" s="116">
        <v>32</v>
      </c>
      <c r="F18" s="116">
        <v>50</v>
      </c>
      <c r="G18" s="116">
        <v>75</v>
      </c>
      <c r="H18" s="113">
        <v>13.5</v>
      </c>
      <c r="I18" s="230">
        <f>IF((C18-D18)&gt;25,(H18*(VLOOKUP(C18-D18,Bullervärdering!$E$3:$I$30,3)*(C18-D18)-VLOOKUP(C18-D18,Bullervärdering!$E$3:$I$30,3)*VLOOKUP(C18-D18,Bullervärdering!$E$3:$I$30,1)+VLOOKUP(C18-D18,Bullervärdering!$E$3:$I$30,2)-IF((C18-E18)&gt;25,(VLOOKUP(C18-E18,Bullervärdering!$E$3:$I$30,3)*(C18-E18)-VLOOKUP(C18-E18,Bullervärdering!$E$3:$I$30,3)*VLOOKUP(C18-E18,Bullervärdering!$E$3:$I$30,1)+VLOOKUP(C18-E18,Bullervärdering!$E$3:$I$30,2)),0))),0)</f>
        <v>23567.726909004792</v>
      </c>
      <c r="J18" s="230">
        <f>IF(AND(C18&gt;0,F18&gt;0,H18&gt;0),K18,0)</f>
        <v>74569.895303138794</v>
      </c>
      <c r="K18" s="324">
        <f>IF(AND(C18&gt;=50,F18&gt;=50),((G18/100)*H18*(VLOOKUP(C18,Bullervärdering!$A$3:$I$30,8)*(C18)-VLOOKUP(C18,Bullervärdering!$A$3:$I$30,8)*VLOOKUP(C18,Bullervärdering!$A$3:$I$30,1)+VLOOKUP(C18,Bullervärdering!$A$3:$I$30,2)-(VLOOKUP(F18,Bullervärdering!$A$3:$I$30,8)*(F18)-VLOOKUP(F18,Bullervärdering!$A$3:$I$30,8)*VLOOKUP(F18,Bullervärdering!$A$3:$I$30,1)+VLOOKUP(F18,Bullervärdering!$A$3:$I$30,2)))),((G18/100)*H18*(VLOOKUP(C18,Bullervärdering!$A$3:$I$30,8)*(C18)-VLOOKUP(C18,Bullervärdering!$A$3:$I$30,8)*VLOOKUP(C18,Bullervärdering!$A$3:$I$30,1)+VLOOKUP(C18,Bullervärdering!$A$3:$I$30,2)-(VLOOKUP($M$17,Bullervärdering!$A$3:$I$30,8)*($M$17)-VLOOKUP($M$17,Bullervärdering!$A$3:$I$30,8)*VLOOKUP($M$17,Bullervärdering!$A$3:$I$30,1)+VLOOKUP($M$17,Bullervärdering!$A$3:$I$30,2)))))</f>
        <v>74569.895303138794</v>
      </c>
      <c r="L18" s="324"/>
      <c r="M18" s="324"/>
      <c r="N18" s="289"/>
      <c r="O18" s="289"/>
      <c r="P18" s="289"/>
      <c r="Q18" s="289"/>
      <c r="R18" s="289"/>
      <c r="S18" s="289"/>
      <c r="T18" s="289"/>
      <c r="AQ18" s="3"/>
    </row>
    <row r="19" spans="2:44" x14ac:dyDescent="0.25">
      <c r="B19" s="210"/>
      <c r="C19" s="16">
        <v>60</v>
      </c>
      <c r="D19" s="229">
        <v>30</v>
      </c>
      <c r="E19" s="116">
        <v>32</v>
      </c>
      <c r="F19" s="116">
        <v>50</v>
      </c>
      <c r="G19" s="116">
        <v>50</v>
      </c>
      <c r="H19" s="113">
        <v>8.1</v>
      </c>
      <c r="I19" s="230">
        <f>IF((C19-D19)&gt;25,(H19*(VLOOKUP(C19-D19,Bullervärdering!$E$3:$I$30,3)*(C19-D19)-VLOOKUP(C19-D19,Bullervärdering!$E$3:$I$30,3)*VLOOKUP(C19-D19,Bullervärdering!$E$3:$I$30,1)+VLOOKUP(C19-D19,Bullervärdering!$E$3:$I$30,2)-IF((C19-E19)&gt;25,(VLOOKUP(C19-E19,Bullervärdering!$E$3:$I$30,3)*(C19-E19)-VLOOKUP(C19-E19,Bullervärdering!$E$3:$I$30,3)*VLOOKUP(C19-E19,Bullervärdering!$E$3:$I$30,1)+VLOOKUP(C19-E19,Bullervärdering!$E$3:$I$30,2)),0))),0)</f>
        <v>8087.0684306848589</v>
      </c>
      <c r="J19" s="230">
        <f t="shared" ref="J19:J32" si="0">IF(AND(C19&gt;0,F19&gt;0,H19&gt;0),K19,0)</f>
        <v>10440.908605389752</v>
      </c>
      <c r="K19" s="324">
        <f>IF(AND(C19&gt;=50,F19&gt;=50),((G19/100)*H19*(VLOOKUP(C19,Bullervärdering!$A$3:$I$30,8)*(C19)-VLOOKUP(C19,Bullervärdering!$A$3:$I$30,8)*VLOOKUP(C19,Bullervärdering!$A$3:$I$30,1)+VLOOKUP(C19,Bullervärdering!$A$3:$I$30,2)-(VLOOKUP(F19,Bullervärdering!$A$3:$I$30,8)*(F19)-VLOOKUP(F19,Bullervärdering!$A$3:$I$30,8)*VLOOKUP(F19,Bullervärdering!$A$3:$I$30,1)+VLOOKUP(F19,Bullervärdering!$A$3:$I$30,2)))),((G19/100)*H19*(VLOOKUP(C19,Bullervärdering!$A$3:$I$30,8)*(C19)-VLOOKUP(C19,Bullervärdering!$A$3:$I$30,8)*VLOOKUP(C19,Bullervärdering!$A$3:$I$30,1)+VLOOKUP(C19,Bullervärdering!$A$3:$I$30,2)-(VLOOKUP($M$17,Bullervärdering!$A$3:$I$30,8)*($M$17)-VLOOKUP($M$17,Bullervärdering!$A$3:$I$30,8)*VLOOKUP($M$17,Bullervärdering!$A$3:$I$30,1)+VLOOKUP($M$17,Bullervärdering!$A$3:$I$30,2)))))</f>
        <v>10440.908605389752</v>
      </c>
      <c r="L19" s="324"/>
      <c r="M19" s="324"/>
      <c r="N19" s="289"/>
      <c r="O19" s="289"/>
      <c r="P19" s="289"/>
      <c r="Q19" s="289"/>
      <c r="R19" s="289"/>
      <c r="S19" s="289"/>
      <c r="T19" s="289"/>
      <c r="AQ19" s="3"/>
    </row>
    <row r="20" spans="2:44" x14ac:dyDescent="0.25">
      <c r="B20" s="210"/>
      <c r="C20" s="16"/>
      <c r="D20" s="229">
        <v>30</v>
      </c>
      <c r="E20" s="116"/>
      <c r="F20" s="116"/>
      <c r="G20" s="116"/>
      <c r="H20" s="116"/>
      <c r="I20" s="230">
        <f>IF((C20-D20)&gt;25,(H20*(VLOOKUP(C20-D20,Bullervärdering!$E$3:$I$30,3)*(C20-D20)-VLOOKUP(C20-D20,Bullervärdering!$E$3:$I$30,3)*VLOOKUP(C20-D20,Bullervärdering!$E$3:$I$30,1)+VLOOKUP(C20-D20,Bullervärdering!$E$3:$I$30,2)-IF((C20-E20)&gt;25,(VLOOKUP(C20-E20,Bullervärdering!$E$3:$I$30,3)*(C20-E20)-VLOOKUP(C20-E20,Bullervärdering!$E$3:$I$30,3)*VLOOKUP(C20-E20,Bullervärdering!$E$3:$I$30,1)+VLOOKUP(C20-E20,Bullervärdering!$E$3:$I$30,2)),0))),0)</f>
        <v>0</v>
      </c>
      <c r="J20" s="230">
        <f t="shared" si="0"/>
        <v>0</v>
      </c>
      <c r="K20" s="324" t="e">
        <f>IF(AND(C20&gt;=50,F20&gt;=50),((G20/100)*H20*(VLOOKUP(C20,Bullervärdering!$A$3:$I$30,8)*(C20)-VLOOKUP(C20,Bullervärdering!$A$3:$I$30,8)*VLOOKUP(C20,Bullervärdering!$A$3:$I$30,1)+VLOOKUP(C20,Bullervärdering!$A$3:$I$30,2)-(VLOOKUP(F20,Bullervärdering!$A$3:$I$30,8)*(F20)-VLOOKUP(F20,Bullervärdering!$A$3:$I$30,8)*VLOOKUP(F20,Bullervärdering!$A$3:$I$30,1)+VLOOKUP(F20,Bullervärdering!$A$3:$I$30,2)))),((G20/100)*H20*(VLOOKUP(C20,Bullervärdering!$A$3:$I$30,8)*(C20)-VLOOKUP(C20,Bullervärdering!$A$3:$I$30,8)*VLOOKUP(C20,Bullervärdering!$A$3:$I$30,1)+VLOOKUP(C20,Bullervärdering!$A$3:$I$30,2)-(VLOOKUP($M$17,Bullervärdering!$A$3:$I$30,8)*($M$17)-VLOOKUP($M$17,Bullervärdering!$A$3:$I$30,8)*VLOOKUP($M$17,Bullervärdering!$A$3:$I$30,1)+VLOOKUP($M$17,Bullervärdering!$A$3:$I$30,2)))))</f>
        <v>#N/A</v>
      </c>
      <c r="L20" s="324"/>
      <c r="M20" s="324"/>
      <c r="N20" s="289"/>
      <c r="O20" s="289"/>
      <c r="P20" s="289"/>
      <c r="Q20" s="289"/>
      <c r="R20" s="289"/>
      <c r="S20" s="289"/>
      <c r="T20" s="289"/>
      <c r="AQ20" s="3"/>
    </row>
    <row r="21" spans="2:44" x14ac:dyDescent="0.25">
      <c r="B21" s="210"/>
      <c r="C21" s="16"/>
      <c r="D21" s="229">
        <v>30</v>
      </c>
      <c r="E21" s="116"/>
      <c r="F21" s="116"/>
      <c r="G21" s="116"/>
      <c r="H21" s="116"/>
      <c r="I21" s="230">
        <f>IF((C21-D21)&gt;25,(H21*(VLOOKUP(C21-D21,Bullervärdering!$E$3:$I$30,3)*(C21-D21)-VLOOKUP(C21-D21,Bullervärdering!$E$3:$I$30,3)*VLOOKUP(C21-D21,Bullervärdering!$E$3:$I$30,1)+VLOOKUP(C21-D21,Bullervärdering!$E$3:$I$30,2)-IF((C21-E21)&gt;25,(VLOOKUP(C21-E21,Bullervärdering!$E$3:$I$30,3)*(C21-E21)-VLOOKUP(C21-E21,Bullervärdering!$E$3:$I$30,3)*VLOOKUP(C21-E21,Bullervärdering!$E$3:$I$30,1)+VLOOKUP(C21-E21,Bullervärdering!$E$3:$I$30,2)),0))),0)</f>
        <v>0</v>
      </c>
      <c r="J21" s="230">
        <f t="shared" si="0"/>
        <v>0</v>
      </c>
      <c r="K21" s="324" t="e">
        <f>IF(AND(C21&gt;=50,F21&gt;=50),((G21/100)*H21*(VLOOKUP(C21,Bullervärdering!$A$3:$I$30,8)*(C21)-VLOOKUP(C21,Bullervärdering!$A$3:$I$30,8)*VLOOKUP(C21,Bullervärdering!$A$3:$I$30,1)+VLOOKUP(C21,Bullervärdering!$A$3:$I$30,2)-(VLOOKUP(F21,Bullervärdering!$A$3:$I$30,8)*(F21)-VLOOKUP(F21,Bullervärdering!$A$3:$I$30,8)*VLOOKUP(F21,Bullervärdering!$A$3:$I$30,1)+VLOOKUP(F21,Bullervärdering!$A$3:$I$30,2)))),((G21/100)*H21*(VLOOKUP(C21,Bullervärdering!$A$3:$I$30,8)*(C21)-VLOOKUP(C21,Bullervärdering!$A$3:$I$30,8)*VLOOKUP(C21,Bullervärdering!$A$3:$I$30,1)+VLOOKUP(C21,Bullervärdering!$A$3:$I$30,2)-(VLOOKUP($M$17,Bullervärdering!$A$3:$I$30,8)*($M$17)-VLOOKUP($M$17,Bullervärdering!$A$3:$I$30,8)*VLOOKUP($M$17,Bullervärdering!$A$3:$I$30,1)+VLOOKUP($M$17,Bullervärdering!$A$3:$I$30,2)))))</f>
        <v>#N/A</v>
      </c>
      <c r="L21" s="324"/>
      <c r="M21" s="324"/>
      <c r="N21" s="289"/>
      <c r="O21" s="289"/>
      <c r="P21" s="289"/>
      <c r="Q21" s="289"/>
      <c r="R21" s="289"/>
      <c r="S21" s="289"/>
      <c r="T21" s="289"/>
      <c r="AQ21" s="3"/>
    </row>
    <row r="22" spans="2:44" x14ac:dyDescent="0.25">
      <c r="B22" s="210"/>
      <c r="C22" s="16"/>
      <c r="D22" s="229">
        <v>30</v>
      </c>
      <c r="E22" s="116"/>
      <c r="F22" s="116"/>
      <c r="G22" s="116"/>
      <c r="H22" s="116"/>
      <c r="I22" s="230">
        <f>IF((C22-D22)&gt;25,(H22*(VLOOKUP(C22-D22,Bullervärdering!$E$3:$I$30,3)*(C22-D22)-VLOOKUP(C22-D22,Bullervärdering!$E$3:$I$30,3)*VLOOKUP(C22-D22,Bullervärdering!$E$3:$I$30,1)+VLOOKUP(C22-D22,Bullervärdering!$E$3:$I$30,2)-IF((C22-E22)&gt;25,(VLOOKUP(C22-E22,Bullervärdering!$E$3:$I$30,3)*(C22-E22)-VLOOKUP(C22-E22,Bullervärdering!$E$3:$I$30,3)*VLOOKUP(C22-E22,Bullervärdering!$E$3:$I$30,1)+VLOOKUP(C22-E22,Bullervärdering!$E$3:$I$30,2)),0))),0)</f>
        <v>0</v>
      </c>
      <c r="J22" s="230">
        <f t="shared" si="0"/>
        <v>0</v>
      </c>
      <c r="K22" s="324" t="e">
        <f>IF(AND(C22&gt;=50,F22&gt;=50),((G22/100)*H22*(VLOOKUP(C22,Bullervärdering!$A$3:$I$30,8)*(C22)-VLOOKUP(C22,Bullervärdering!$A$3:$I$30,8)*VLOOKUP(C22,Bullervärdering!$A$3:$I$30,1)+VLOOKUP(C22,Bullervärdering!$A$3:$I$30,2)-(VLOOKUP(F22,Bullervärdering!$A$3:$I$30,8)*(F22)-VLOOKUP(F22,Bullervärdering!$A$3:$I$30,8)*VLOOKUP(F22,Bullervärdering!$A$3:$I$30,1)+VLOOKUP(F22,Bullervärdering!$A$3:$I$30,2)))),((G22/100)*H22*(VLOOKUP(C22,Bullervärdering!$A$3:$I$30,8)*(C22)-VLOOKUP(C22,Bullervärdering!$A$3:$I$30,8)*VLOOKUP(C22,Bullervärdering!$A$3:$I$30,1)+VLOOKUP(C22,Bullervärdering!$A$3:$I$30,2)-(VLOOKUP($M$17,Bullervärdering!$A$3:$I$30,8)*($M$17)-VLOOKUP($M$17,Bullervärdering!$A$3:$I$30,8)*VLOOKUP($M$17,Bullervärdering!$A$3:$I$30,1)+VLOOKUP($M$17,Bullervärdering!$A$3:$I$30,2)))))</f>
        <v>#N/A</v>
      </c>
      <c r="L22" s="324"/>
      <c r="M22" s="324"/>
      <c r="N22" s="289"/>
      <c r="O22" s="289"/>
      <c r="P22" s="289"/>
      <c r="Q22" s="289"/>
      <c r="R22" s="289"/>
      <c r="S22" s="289"/>
      <c r="T22" s="289"/>
      <c r="AQ22" s="3"/>
    </row>
    <row r="23" spans="2:44" x14ac:dyDescent="0.25">
      <c r="B23" s="210"/>
      <c r="C23" s="16"/>
      <c r="D23" s="229">
        <v>30</v>
      </c>
      <c r="E23" s="116"/>
      <c r="F23" s="116"/>
      <c r="G23" s="116"/>
      <c r="H23" s="116"/>
      <c r="I23" s="230">
        <f>IF((C23-D23)&gt;25,(H23*(VLOOKUP(C23-D23,Bullervärdering!$E$3:$I$30,3)*(C23-D23)-VLOOKUP(C23-D23,Bullervärdering!$E$3:$I$30,3)*VLOOKUP(C23-D23,Bullervärdering!$E$3:$I$30,1)+VLOOKUP(C23-D23,Bullervärdering!$E$3:$I$30,2)-IF((C23-E23)&gt;25,(VLOOKUP(C23-E23,Bullervärdering!$E$3:$I$30,3)*(C23-E23)-VLOOKUP(C23-E23,Bullervärdering!$E$3:$I$30,3)*VLOOKUP(C23-E23,Bullervärdering!$E$3:$I$30,1)+VLOOKUP(C23-E23,Bullervärdering!$E$3:$I$30,2)),0))),0)</f>
        <v>0</v>
      </c>
      <c r="J23" s="230">
        <f t="shared" si="0"/>
        <v>0</v>
      </c>
      <c r="K23" s="324" t="e">
        <f>IF(AND(C23&gt;=50,F23&gt;=50),((G23/100)*H23*(VLOOKUP(C23,Bullervärdering!$A$3:$I$30,8)*(C23)-VLOOKUP(C23,Bullervärdering!$A$3:$I$30,8)*VLOOKUP(C23,Bullervärdering!$A$3:$I$30,1)+VLOOKUP(C23,Bullervärdering!$A$3:$I$30,2)-(VLOOKUP(F23,Bullervärdering!$A$3:$I$30,8)*(F23)-VLOOKUP(F23,Bullervärdering!$A$3:$I$30,8)*VLOOKUP(F23,Bullervärdering!$A$3:$I$30,1)+VLOOKUP(F23,Bullervärdering!$A$3:$I$30,2)))),((G23/100)*H23*(VLOOKUP(C23,Bullervärdering!$A$3:$I$30,8)*(C23)-VLOOKUP(C23,Bullervärdering!$A$3:$I$30,8)*VLOOKUP(C23,Bullervärdering!$A$3:$I$30,1)+VLOOKUP(C23,Bullervärdering!$A$3:$I$30,2)-(VLOOKUP($M$17,Bullervärdering!$A$3:$I$30,8)*($M$17)-VLOOKUP($M$17,Bullervärdering!$A$3:$I$30,8)*VLOOKUP($M$17,Bullervärdering!$A$3:$I$30,1)+VLOOKUP($M$17,Bullervärdering!$A$3:$I$30,2)))))</f>
        <v>#N/A</v>
      </c>
      <c r="L23" s="324"/>
      <c r="M23" s="324"/>
      <c r="N23" s="289"/>
      <c r="O23" s="289"/>
      <c r="P23" s="289"/>
      <c r="Q23" s="289"/>
      <c r="R23" s="289"/>
      <c r="S23" s="289"/>
      <c r="T23" s="289"/>
      <c r="AQ23" s="3"/>
    </row>
    <row r="24" spans="2:44" x14ac:dyDescent="0.25">
      <c r="B24" s="210"/>
      <c r="C24" s="16"/>
      <c r="D24" s="229">
        <v>30</v>
      </c>
      <c r="E24" s="116"/>
      <c r="F24" s="116"/>
      <c r="G24" s="116"/>
      <c r="H24" s="116"/>
      <c r="I24" s="230">
        <f>IF((C24-D24)&gt;25,(H24*(VLOOKUP(C24-D24,Bullervärdering!$E$3:$I$30,3)*(C24-D24)-VLOOKUP(C24-D24,Bullervärdering!$E$3:$I$30,3)*VLOOKUP(C24-D24,Bullervärdering!$E$3:$I$30,1)+VLOOKUP(C24-D24,Bullervärdering!$E$3:$I$30,2)-IF((C24-E24)&gt;25,(VLOOKUP(C24-E24,Bullervärdering!$E$3:$I$30,3)*(C24-E24)-VLOOKUP(C24-E24,Bullervärdering!$E$3:$I$30,3)*VLOOKUP(C24-E24,Bullervärdering!$E$3:$I$30,1)+VLOOKUP(C24-E24,Bullervärdering!$E$3:$I$30,2)),0))),0)</f>
        <v>0</v>
      </c>
      <c r="J24" s="230">
        <f t="shared" si="0"/>
        <v>0</v>
      </c>
      <c r="K24" s="324" t="e">
        <f>IF(AND(C24&gt;=50,F24&gt;=50),((G24/100)*H24*(VLOOKUP(C24,Bullervärdering!$A$3:$I$30,8)*(C24)-VLOOKUP(C24,Bullervärdering!$A$3:$I$30,8)*VLOOKUP(C24,Bullervärdering!$A$3:$I$30,1)+VLOOKUP(C24,Bullervärdering!$A$3:$I$30,2)-(VLOOKUP(F24,Bullervärdering!$A$3:$I$30,8)*(F24)-VLOOKUP(F24,Bullervärdering!$A$3:$I$30,8)*VLOOKUP(F24,Bullervärdering!$A$3:$I$30,1)+VLOOKUP(F24,Bullervärdering!$A$3:$I$30,2)))),((G24/100)*H24*(VLOOKUP(C24,Bullervärdering!$A$3:$I$30,8)*(C24)-VLOOKUP(C24,Bullervärdering!$A$3:$I$30,8)*VLOOKUP(C24,Bullervärdering!$A$3:$I$30,1)+VLOOKUP(C24,Bullervärdering!$A$3:$I$30,2)-(VLOOKUP($M$17,Bullervärdering!$A$3:$I$30,8)*($M$17)-VLOOKUP($M$17,Bullervärdering!$A$3:$I$30,8)*VLOOKUP($M$17,Bullervärdering!$A$3:$I$30,1)+VLOOKUP($M$17,Bullervärdering!$A$3:$I$30,2)))))</f>
        <v>#N/A</v>
      </c>
      <c r="L24" s="324"/>
      <c r="M24" s="324"/>
      <c r="N24" s="289"/>
      <c r="O24" s="289"/>
      <c r="P24" s="289"/>
      <c r="Q24" s="289"/>
      <c r="R24" s="289"/>
      <c r="S24" s="289"/>
      <c r="T24" s="289"/>
      <c r="AQ24" s="3"/>
    </row>
    <row r="25" spans="2:44" x14ac:dyDescent="0.25">
      <c r="B25" s="210"/>
      <c r="C25" s="16"/>
      <c r="D25" s="229">
        <v>30</v>
      </c>
      <c r="E25" s="116"/>
      <c r="F25" s="116"/>
      <c r="G25" s="116"/>
      <c r="H25" s="116"/>
      <c r="I25" s="230">
        <f>IF((C25-D25)&gt;25,(H25*(VLOOKUP(C25-D25,Bullervärdering!$E$3:$I$30,3)*(C25-D25)-VLOOKUP(C25-D25,Bullervärdering!$E$3:$I$30,3)*VLOOKUP(C25-D25,Bullervärdering!$E$3:$I$30,1)+VLOOKUP(C25-D25,Bullervärdering!$E$3:$I$30,2)-IF((C25-E25)&gt;25,(VLOOKUP(C25-E25,Bullervärdering!$E$3:$I$30,3)*(C25-E25)-VLOOKUP(C25-E25,Bullervärdering!$E$3:$I$30,3)*VLOOKUP(C25-E25,Bullervärdering!$E$3:$I$30,1)+VLOOKUP(C25-E25,Bullervärdering!$E$3:$I$30,2)),0))),0)</f>
        <v>0</v>
      </c>
      <c r="J25" s="230">
        <f t="shared" si="0"/>
        <v>0</v>
      </c>
      <c r="K25" s="324" t="e">
        <f>IF(AND(C25&gt;=50,F25&gt;=50),((G25/100)*H25*(VLOOKUP(C25,Bullervärdering!$A$3:$I$30,8)*(C25)-VLOOKUP(C25,Bullervärdering!$A$3:$I$30,8)*VLOOKUP(C25,Bullervärdering!$A$3:$I$30,1)+VLOOKUP(C25,Bullervärdering!$A$3:$I$30,2)-(VLOOKUP(F25,Bullervärdering!$A$3:$I$30,8)*(F25)-VLOOKUP(F25,Bullervärdering!$A$3:$I$30,8)*VLOOKUP(F25,Bullervärdering!$A$3:$I$30,1)+VLOOKUP(F25,Bullervärdering!$A$3:$I$30,2)))),((G25/100)*H25*(VLOOKUP(C25,Bullervärdering!$A$3:$I$30,8)*(C25)-VLOOKUP(C25,Bullervärdering!$A$3:$I$30,8)*VLOOKUP(C25,Bullervärdering!$A$3:$I$30,1)+VLOOKUP(C25,Bullervärdering!$A$3:$I$30,2)-(VLOOKUP($M$17,Bullervärdering!$A$3:$I$30,8)*($M$17)-VLOOKUP($M$17,Bullervärdering!$A$3:$I$30,8)*VLOOKUP($M$17,Bullervärdering!$A$3:$I$30,1)+VLOOKUP($M$17,Bullervärdering!$A$3:$I$30,2)))))</f>
        <v>#N/A</v>
      </c>
      <c r="L25" s="324"/>
      <c r="M25" s="324"/>
      <c r="N25" s="289"/>
      <c r="O25" s="289"/>
      <c r="P25" s="289"/>
      <c r="Q25" s="289"/>
      <c r="R25" s="289"/>
      <c r="S25" s="289"/>
      <c r="T25" s="289"/>
      <c r="AQ25" s="3"/>
    </row>
    <row r="26" spans="2:44" x14ac:dyDescent="0.25">
      <c r="B26" s="210"/>
      <c r="C26" s="16"/>
      <c r="D26" s="229">
        <v>30</v>
      </c>
      <c r="E26" s="116"/>
      <c r="F26" s="116"/>
      <c r="G26" s="116"/>
      <c r="H26" s="116"/>
      <c r="I26" s="230">
        <f>IF((C26-D26)&gt;25,(H26*(VLOOKUP(C26-D26,Bullervärdering!$E$3:$I$30,3)*(C26-D26)-VLOOKUP(C26-D26,Bullervärdering!$E$3:$I$30,3)*VLOOKUP(C26-D26,Bullervärdering!$E$3:$I$30,1)+VLOOKUP(C26-D26,Bullervärdering!$E$3:$I$30,2)-IF((C26-E26)&gt;25,(VLOOKUP(C26-E26,Bullervärdering!$E$3:$I$30,3)*(C26-E26)-VLOOKUP(C26-E26,Bullervärdering!$E$3:$I$30,3)*VLOOKUP(C26-E26,Bullervärdering!$E$3:$I$30,1)+VLOOKUP(C26-E26,Bullervärdering!$E$3:$I$30,2)),0))),0)</f>
        <v>0</v>
      </c>
      <c r="J26" s="230">
        <f t="shared" si="0"/>
        <v>0</v>
      </c>
      <c r="K26" s="324" t="e">
        <f>IF(AND(C26&gt;=50,F26&gt;=50),((G26/100)*H26*(VLOOKUP(C26,Bullervärdering!$A$3:$I$30,8)*(C26)-VLOOKUP(C26,Bullervärdering!$A$3:$I$30,8)*VLOOKUP(C26,Bullervärdering!$A$3:$I$30,1)+VLOOKUP(C26,Bullervärdering!$A$3:$I$30,2)-(VLOOKUP(F26,Bullervärdering!$A$3:$I$30,8)*(F26)-VLOOKUP(F26,Bullervärdering!$A$3:$I$30,8)*VLOOKUP(F26,Bullervärdering!$A$3:$I$30,1)+VLOOKUP(F26,Bullervärdering!$A$3:$I$30,2)))),((G26/100)*H26*(VLOOKUP(C26,Bullervärdering!$A$3:$I$30,8)*(C26)-VLOOKUP(C26,Bullervärdering!$A$3:$I$30,8)*VLOOKUP(C26,Bullervärdering!$A$3:$I$30,1)+VLOOKUP(C26,Bullervärdering!$A$3:$I$30,2)-(VLOOKUP($M$17,Bullervärdering!$A$3:$I$30,8)*($M$17)-VLOOKUP($M$17,Bullervärdering!$A$3:$I$30,8)*VLOOKUP($M$17,Bullervärdering!$A$3:$I$30,1)+VLOOKUP($M$17,Bullervärdering!$A$3:$I$30,2)))))</f>
        <v>#N/A</v>
      </c>
      <c r="L26" s="324"/>
      <c r="M26" s="324"/>
      <c r="N26" s="289"/>
      <c r="O26" s="289"/>
      <c r="P26" s="289"/>
      <c r="Q26" s="289"/>
      <c r="R26" s="289"/>
      <c r="S26" s="289"/>
      <c r="T26" s="289"/>
      <c r="AQ26" s="3"/>
    </row>
    <row r="27" spans="2:44" x14ac:dyDescent="0.25">
      <c r="B27" s="210"/>
      <c r="C27" s="16"/>
      <c r="D27" s="229">
        <v>30</v>
      </c>
      <c r="E27" s="116"/>
      <c r="F27" s="116"/>
      <c r="G27" s="116"/>
      <c r="H27" s="116"/>
      <c r="I27" s="230">
        <f>IF((C27-D27)&gt;25,(H27*(VLOOKUP(C27-D27,Bullervärdering!$E$3:$I$30,3)*(C27-D27)-VLOOKUP(C27-D27,Bullervärdering!$E$3:$I$30,3)*VLOOKUP(C27-D27,Bullervärdering!$E$3:$I$30,1)+VLOOKUP(C27-D27,Bullervärdering!$E$3:$I$30,2)-IF((C27-E27)&gt;25,(VLOOKUP(C27-E27,Bullervärdering!$E$3:$I$30,3)*(C27-E27)-VLOOKUP(C27-E27,Bullervärdering!$E$3:$I$30,3)*VLOOKUP(C27-E27,Bullervärdering!$E$3:$I$30,1)+VLOOKUP(C27-E27,Bullervärdering!$E$3:$I$30,2)),0))),0)</f>
        <v>0</v>
      </c>
      <c r="J27" s="230">
        <f t="shared" si="0"/>
        <v>0</v>
      </c>
      <c r="K27" s="324" t="e">
        <f>IF(AND(C27&gt;=50,F27&gt;=50),((G27/100)*H27*(VLOOKUP(C27,Bullervärdering!$A$3:$I$30,8)*(C27)-VLOOKUP(C27,Bullervärdering!$A$3:$I$30,8)*VLOOKUP(C27,Bullervärdering!$A$3:$I$30,1)+VLOOKUP(C27,Bullervärdering!$A$3:$I$30,2)-(VLOOKUP(F27,Bullervärdering!$A$3:$I$30,8)*(F27)-VLOOKUP(F27,Bullervärdering!$A$3:$I$30,8)*VLOOKUP(F27,Bullervärdering!$A$3:$I$30,1)+VLOOKUP(F27,Bullervärdering!$A$3:$I$30,2)))),((G27/100)*H27*(VLOOKUP(C27,Bullervärdering!$A$3:$I$30,8)*(C27)-VLOOKUP(C27,Bullervärdering!$A$3:$I$30,8)*VLOOKUP(C27,Bullervärdering!$A$3:$I$30,1)+VLOOKUP(C27,Bullervärdering!$A$3:$I$30,2)-(VLOOKUP($M$17,Bullervärdering!$A$3:$I$30,8)*($M$17)-VLOOKUP($M$17,Bullervärdering!$A$3:$I$30,8)*VLOOKUP($M$17,Bullervärdering!$A$3:$I$30,1)+VLOOKUP($M$17,Bullervärdering!$A$3:$I$30,2)))))</f>
        <v>#N/A</v>
      </c>
      <c r="L27" s="324"/>
      <c r="M27" s="324"/>
      <c r="N27" s="289"/>
      <c r="O27" s="289"/>
      <c r="P27" s="289"/>
      <c r="Q27" s="289"/>
      <c r="R27" s="289"/>
      <c r="S27" s="289"/>
      <c r="T27" s="289"/>
      <c r="AQ27" s="3"/>
    </row>
    <row r="28" spans="2:44" x14ac:dyDescent="0.25">
      <c r="B28" s="210"/>
      <c r="C28" s="16"/>
      <c r="D28" s="229">
        <v>30</v>
      </c>
      <c r="E28" s="116"/>
      <c r="F28" s="116"/>
      <c r="G28" s="116"/>
      <c r="H28" s="116"/>
      <c r="I28" s="230">
        <f>IF((C28-D28)&gt;25,(H28*(VLOOKUP(C28-D28,Bullervärdering!$E$3:$I$30,3)*(C28-D28)-VLOOKUP(C28-D28,Bullervärdering!$E$3:$I$30,3)*VLOOKUP(C28-D28,Bullervärdering!$E$3:$I$30,1)+VLOOKUP(C28-D28,Bullervärdering!$E$3:$I$30,2)-IF((C28-E28)&gt;25,(VLOOKUP(C28-E28,Bullervärdering!$E$3:$I$30,3)*(C28-E28)-VLOOKUP(C28-E28,Bullervärdering!$E$3:$I$30,3)*VLOOKUP(C28-E28,Bullervärdering!$E$3:$I$30,1)+VLOOKUP(C28-E28,Bullervärdering!$E$3:$I$30,2)),0))),0)</f>
        <v>0</v>
      </c>
      <c r="J28" s="230">
        <f t="shared" si="0"/>
        <v>0</v>
      </c>
      <c r="K28" s="324" t="e">
        <f>IF(AND(C28&gt;=50,F28&gt;=50),((G28/100)*H28*(VLOOKUP(C28,Bullervärdering!$A$3:$I$30,8)*(C28)-VLOOKUP(C28,Bullervärdering!$A$3:$I$30,8)*VLOOKUP(C28,Bullervärdering!$A$3:$I$30,1)+VLOOKUP(C28,Bullervärdering!$A$3:$I$30,2)-(VLOOKUP(F28,Bullervärdering!$A$3:$I$30,8)*(F28)-VLOOKUP(F28,Bullervärdering!$A$3:$I$30,8)*VLOOKUP(F28,Bullervärdering!$A$3:$I$30,1)+VLOOKUP(F28,Bullervärdering!$A$3:$I$30,2)))),((G28/100)*H28*(VLOOKUP(C28,Bullervärdering!$A$3:$I$30,8)*(C28)-VLOOKUP(C28,Bullervärdering!$A$3:$I$30,8)*VLOOKUP(C28,Bullervärdering!$A$3:$I$30,1)+VLOOKUP(C28,Bullervärdering!$A$3:$I$30,2)-(VLOOKUP($M$17,Bullervärdering!$A$3:$I$30,8)*($M$17)-VLOOKUP($M$17,Bullervärdering!$A$3:$I$30,8)*VLOOKUP($M$17,Bullervärdering!$A$3:$I$30,1)+VLOOKUP($M$17,Bullervärdering!$A$3:$I$30,2)))))</f>
        <v>#N/A</v>
      </c>
      <c r="L28" s="324"/>
      <c r="M28" s="324"/>
      <c r="N28" s="289"/>
      <c r="O28" s="289"/>
      <c r="P28" s="289"/>
      <c r="Q28" s="289"/>
      <c r="R28" s="289"/>
      <c r="S28" s="289"/>
      <c r="T28" s="289"/>
      <c r="AQ28" s="3"/>
    </row>
    <row r="29" spans="2:44" x14ac:dyDescent="0.25">
      <c r="B29" s="210"/>
      <c r="C29" s="16"/>
      <c r="D29" s="229">
        <v>30</v>
      </c>
      <c r="E29" s="116"/>
      <c r="F29" s="116"/>
      <c r="G29" s="116"/>
      <c r="H29" s="116"/>
      <c r="I29" s="230">
        <f>IF((C29-D29)&gt;25,(H29*(VLOOKUP(C29-D29,Bullervärdering!$E$3:$I$30,3)*(C29-D29)-VLOOKUP(C29-D29,Bullervärdering!$E$3:$I$30,3)*VLOOKUP(C29-D29,Bullervärdering!$E$3:$I$30,1)+VLOOKUP(C29-D29,Bullervärdering!$E$3:$I$30,2)-IF((C29-E29)&gt;25,(VLOOKUP(C29-E29,Bullervärdering!$E$3:$I$30,3)*(C29-E29)-VLOOKUP(C29-E29,Bullervärdering!$E$3:$I$30,3)*VLOOKUP(C29-E29,Bullervärdering!$E$3:$I$30,1)+VLOOKUP(C29-E29,Bullervärdering!$E$3:$I$30,2)),0))),0)</f>
        <v>0</v>
      </c>
      <c r="J29" s="230">
        <f t="shared" si="0"/>
        <v>0</v>
      </c>
      <c r="K29" s="324" t="e">
        <f>IF(AND(C29&gt;=50,F29&gt;=50),((G29/100)*H29*(VLOOKUP(C29,Bullervärdering!$A$3:$I$30,8)*(C29)-VLOOKUP(C29,Bullervärdering!$A$3:$I$30,8)*VLOOKUP(C29,Bullervärdering!$A$3:$I$30,1)+VLOOKUP(C29,Bullervärdering!$A$3:$I$30,2)-(VLOOKUP(F29,Bullervärdering!$A$3:$I$30,8)*(F29)-VLOOKUP(F29,Bullervärdering!$A$3:$I$30,8)*VLOOKUP(F29,Bullervärdering!$A$3:$I$30,1)+VLOOKUP(F29,Bullervärdering!$A$3:$I$30,2)))),((G29/100)*H29*(VLOOKUP(C29,Bullervärdering!$A$3:$I$30,8)*(C29)-VLOOKUP(C29,Bullervärdering!$A$3:$I$30,8)*VLOOKUP(C29,Bullervärdering!$A$3:$I$30,1)+VLOOKUP(C29,Bullervärdering!$A$3:$I$30,2)-(VLOOKUP($M$17,Bullervärdering!$A$3:$I$30,8)*($M$17)-VLOOKUP($M$17,Bullervärdering!$A$3:$I$30,8)*VLOOKUP($M$17,Bullervärdering!$A$3:$I$30,1)+VLOOKUP($M$17,Bullervärdering!$A$3:$I$30,2)))))</f>
        <v>#N/A</v>
      </c>
      <c r="L29" s="324"/>
      <c r="M29" s="324"/>
      <c r="N29" s="289"/>
      <c r="O29" s="289"/>
      <c r="P29" s="289"/>
      <c r="Q29" s="289"/>
      <c r="R29" s="289"/>
      <c r="S29" s="289"/>
      <c r="T29" s="289"/>
      <c r="AQ29" s="3"/>
    </row>
    <row r="30" spans="2:44" x14ac:dyDescent="0.25">
      <c r="B30" s="210"/>
      <c r="C30" s="16"/>
      <c r="D30" s="229">
        <v>30</v>
      </c>
      <c r="E30" s="116"/>
      <c r="F30" s="116"/>
      <c r="G30" s="116"/>
      <c r="H30" s="116"/>
      <c r="I30" s="230">
        <f>IF((C30-D30)&gt;25,(H30*(VLOOKUP(C30-D30,Bullervärdering!$E$3:$I$30,3)*(C30-D30)-VLOOKUP(C30-D30,Bullervärdering!$E$3:$I$30,3)*VLOOKUP(C30-D30,Bullervärdering!$E$3:$I$30,1)+VLOOKUP(C30-D30,Bullervärdering!$E$3:$I$30,2)-IF((C30-E30)&gt;25,(VLOOKUP(C30-E30,Bullervärdering!$E$3:$I$30,3)*(C30-E30)-VLOOKUP(C30-E30,Bullervärdering!$E$3:$I$30,3)*VLOOKUP(C30-E30,Bullervärdering!$E$3:$I$30,1)+VLOOKUP(C30-E30,Bullervärdering!$E$3:$I$30,2)),0))),0)</f>
        <v>0</v>
      </c>
      <c r="J30" s="230">
        <f t="shared" si="0"/>
        <v>0</v>
      </c>
      <c r="K30" s="324" t="e">
        <f>IF(AND(C30&gt;=50,F30&gt;=50),((G30/100)*H30*(VLOOKUP(C30,Bullervärdering!$A$3:$I$30,8)*(C30)-VLOOKUP(C30,Bullervärdering!$A$3:$I$30,8)*VLOOKUP(C30,Bullervärdering!$A$3:$I$30,1)+VLOOKUP(C30,Bullervärdering!$A$3:$I$30,2)-(VLOOKUP(F30,Bullervärdering!$A$3:$I$30,8)*(F30)-VLOOKUP(F30,Bullervärdering!$A$3:$I$30,8)*VLOOKUP(F30,Bullervärdering!$A$3:$I$30,1)+VLOOKUP(F30,Bullervärdering!$A$3:$I$30,2)))),((G30/100)*H30*(VLOOKUP(C30,Bullervärdering!$A$3:$I$30,8)*(C30)-VLOOKUP(C30,Bullervärdering!$A$3:$I$30,8)*VLOOKUP(C30,Bullervärdering!$A$3:$I$30,1)+VLOOKUP(C30,Bullervärdering!$A$3:$I$30,2)-(VLOOKUP($M$17,Bullervärdering!$A$3:$I$30,8)*($M$17)-VLOOKUP($M$17,Bullervärdering!$A$3:$I$30,8)*VLOOKUP($M$17,Bullervärdering!$A$3:$I$30,1)+VLOOKUP($M$17,Bullervärdering!$A$3:$I$30,2)))))</f>
        <v>#N/A</v>
      </c>
      <c r="L30" s="324"/>
      <c r="M30" s="324"/>
      <c r="N30" s="289"/>
      <c r="O30" s="289"/>
      <c r="P30" s="289"/>
      <c r="Q30" s="289"/>
      <c r="R30" s="289"/>
      <c r="S30" s="289"/>
      <c r="T30" s="289"/>
      <c r="AQ30" s="3"/>
    </row>
    <row r="31" spans="2:44" x14ac:dyDescent="0.25">
      <c r="B31" s="210"/>
      <c r="C31" s="112"/>
      <c r="D31" s="227">
        <v>30</v>
      </c>
      <c r="E31" s="113"/>
      <c r="F31" s="113"/>
      <c r="G31" s="116"/>
      <c r="H31" s="116"/>
      <c r="I31" s="230">
        <f>IF((C31-D31)&gt;25,(H31*(VLOOKUP(C31-D31,Bullervärdering!$E$3:$I$30,3)*(C31-D31)-VLOOKUP(C31-D31,Bullervärdering!$E$3:$I$30,3)*VLOOKUP(C31-D31,Bullervärdering!$E$3:$I$30,1)+VLOOKUP(C31-D31,Bullervärdering!$E$3:$I$30,2)-IF((C31-E31)&gt;25,(VLOOKUP(C31-E31,Bullervärdering!$E$3:$I$30,3)*(C31-E31)-VLOOKUP(C31-E31,Bullervärdering!$E$3:$I$30,3)*VLOOKUP(C31-E31,Bullervärdering!$E$3:$I$30,1)+VLOOKUP(C31-E31,Bullervärdering!$E$3:$I$30,2)),0))),0)</f>
        <v>0</v>
      </c>
      <c r="J31" s="230">
        <f t="shared" si="0"/>
        <v>0</v>
      </c>
      <c r="K31" s="324" t="e">
        <f>IF(AND(C31&gt;=50,F31&gt;=50),((G31/100)*H31*(VLOOKUP(C31,Bullervärdering!$A$3:$I$30,8)*(C31)-VLOOKUP(C31,Bullervärdering!$A$3:$I$30,8)*VLOOKUP(C31,Bullervärdering!$A$3:$I$30,1)+VLOOKUP(C31,Bullervärdering!$A$3:$I$30,2)-(VLOOKUP(F31,Bullervärdering!$A$3:$I$30,8)*(F31)-VLOOKUP(F31,Bullervärdering!$A$3:$I$30,8)*VLOOKUP(F31,Bullervärdering!$A$3:$I$30,1)+VLOOKUP(F31,Bullervärdering!$A$3:$I$30,2)))),((G31/100)*H31*(VLOOKUP(C31,Bullervärdering!$A$3:$I$30,8)*(C31)-VLOOKUP(C31,Bullervärdering!$A$3:$I$30,8)*VLOOKUP(C31,Bullervärdering!$A$3:$I$30,1)+VLOOKUP(C31,Bullervärdering!$A$3:$I$30,2)-(VLOOKUP($M$17,Bullervärdering!$A$3:$I$30,8)*($M$17)-VLOOKUP($M$17,Bullervärdering!$A$3:$I$30,8)*VLOOKUP($M$17,Bullervärdering!$A$3:$I$30,1)+VLOOKUP($M$17,Bullervärdering!$A$3:$I$30,2)))))</f>
        <v>#N/A</v>
      </c>
      <c r="L31" s="324"/>
      <c r="M31" s="324"/>
      <c r="N31" s="289"/>
      <c r="O31" s="289"/>
      <c r="P31" s="289"/>
      <c r="Q31" s="289"/>
      <c r="R31" s="289"/>
      <c r="S31" s="289"/>
      <c r="T31" s="289"/>
      <c r="AQ31" s="3"/>
    </row>
    <row r="32" spans="2:44" x14ac:dyDescent="0.25">
      <c r="B32" s="210"/>
      <c r="C32" s="112"/>
      <c r="D32" s="227">
        <v>30</v>
      </c>
      <c r="E32" s="113"/>
      <c r="F32" s="114"/>
      <c r="G32" s="115"/>
      <c r="H32" s="116"/>
      <c r="I32" s="230">
        <f>IF((C32-D32)&gt;25,(H32*(VLOOKUP(C32-D32,Bullervärdering!$E$3:$I$30,3)*(C32-D32)-VLOOKUP(C32-D32,Bullervärdering!$E$3:$I$30,3)*VLOOKUP(C32-D32,Bullervärdering!$E$3:$I$30,1)+VLOOKUP(C32-D32,Bullervärdering!$E$3:$I$30,2)-IF((C32-E32)&gt;25,(VLOOKUP(C32-E32,Bullervärdering!$E$3:$I$30,3)*(C32-E32)-VLOOKUP(C32-E32,Bullervärdering!$E$3:$I$30,3)*VLOOKUP(C32-E32,Bullervärdering!$E$3:$I$30,1)+VLOOKUP(C32-E32,Bullervärdering!$E$3:$I$30,2)),0))),0)</f>
        <v>0</v>
      </c>
      <c r="J32" s="230">
        <f t="shared" si="0"/>
        <v>0</v>
      </c>
      <c r="K32" s="324" t="e">
        <f>IF(AND(C32&gt;=50,F32&gt;=50),((G32/100)*H32*(VLOOKUP(C32,Bullervärdering!$A$3:$I$30,8)*(C32)-VLOOKUP(C32,Bullervärdering!$A$3:$I$30,8)*VLOOKUP(C32,Bullervärdering!$A$3:$I$30,1)+VLOOKUP(C32,Bullervärdering!$A$3:$I$30,2)-(VLOOKUP(F32,Bullervärdering!$A$3:$I$30,8)*(F32)-VLOOKUP(F32,Bullervärdering!$A$3:$I$30,8)*VLOOKUP(F32,Bullervärdering!$A$3:$I$30,1)+VLOOKUP(F32,Bullervärdering!$A$3:$I$30,2)))),((G32/100)*H32*(VLOOKUP(C32,Bullervärdering!$A$3:$I$30,8)*(C32)-VLOOKUP(C32,Bullervärdering!$A$3:$I$30,8)*VLOOKUP(C32,Bullervärdering!$A$3:$I$30,1)+VLOOKUP(C32,Bullervärdering!$A$3:$I$30,2)-(VLOOKUP($M$17,Bullervärdering!$A$3:$I$30,8)*($M$17)-VLOOKUP($M$17,Bullervärdering!$A$3:$I$30,8)*VLOOKUP($M$17,Bullervärdering!$A$3:$I$30,1)+VLOOKUP($M$17,Bullervärdering!$A$3:$I$30,2)))))</f>
        <v>#N/A</v>
      </c>
      <c r="L32" s="324"/>
      <c r="M32" s="324"/>
      <c r="N32" s="289"/>
      <c r="O32" s="289"/>
      <c r="P32" s="289"/>
      <c r="Q32" s="289"/>
      <c r="R32" s="289"/>
      <c r="S32" s="289"/>
      <c r="T32" s="289"/>
      <c r="AQ32" s="3"/>
    </row>
    <row r="33" spans="1:44" x14ac:dyDescent="0.25">
      <c r="B33" s="61" t="s">
        <v>36</v>
      </c>
      <c r="C33" s="61"/>
      <c r="D33" s="61"/>
      <c r="E33" s="61"/>
      <c r="F33" s="82"/>
      <c r="G33" s="82"/>
      <c r="H33" s="61"/>
      <c r="I33" s="76">
        <f>SUM(I18:I32)</f>
        <v>31654.795339689652</v>
      </c>
      <c r="J33" s="76">
        <f>SUM(J18:J32)</f>
        <v>85010.803908528542</v>
      </c>
      <c r="K33" s="324" t="e">
        <f>SUM(K18:K32)</f>
        <v>#N/A</v>
      </c>
      <c r="L33" s="324"/>
      <c r="M33" s="324"/>
      <c r="N33" s="289"/>
      <c r="O33" s="289"/>
      <c r="P33" s="289"/>
      <c r="Q33" s="289"/>
      <c r="R33" s="289"/>
      <c r="S33" s="289"/>
      <c r="T33" s="289"/>
      <c r="AQ33" s="3"/>
      <c r="AR33" s="3"/>
    </row>
    <row r="34" spans="1:44" s="3" customFormat="1" ht="13" x14ac:dyDescent="0.3">
      <c r="A34" s="34"/>
      <c r="K34" s="289"/>
      <c r="L34" s="289"/>
      <c r="M34" s="289"/>
      <c r="N34" s="289"/>
      <c r="O34" s="289"/>
      <c r="P34" s="289"/>
      <c r="Q34" s="289"/>
      <c r="R34" s="289"/>
      <c r="S34" s="289"/>
      <c r="T34" s="289"/>
      <c r="U34" s="33"/>
      <c r="V34" s="33"/>
    </row>
    <row r="35" spans="1:44" s="1" customFormat="1" ht="13" x14ac:dyDescent="0.3">
      <c r="A35" s="34"/>
      <c r="B35" s="6" t="s">
        <v>293</v>
      </c>
      <c r="C35" s="6"/>
      <c r="D35" s="6"/>
      <c r="E35" s="2"/>
      <c r="F35" s="2"/>
      <c r="G35" s="2"/>
      <c r="H35" s="3"/>
      <c r="I35" s="3"/>
      <c r="J35" s="3"/>
      <c r="K35" s="289"/>
      <c r="L35" s="289"/>
      <c r="M35" s="289"/>
      <c r="N35" s="289"/>
      <c r="O35" s="289"/>
      <c r="P35" s="287"/>
      <c r="Q35" s="287"/>
      <c r="R35" s="287"/>
      <c r="S35" s="287"/>
      <c r="T35" s="287"/>
      <c r="U35" s="34"/>
      <c r="V35" s="34"/>
      <c r="W35" s="2"/>
      <c r="X35" s="2"/>
      <c r="Y35" s="2"/>
      <c r="Z35" s="2"/>
      <c r="AA35" s="2"/>
      <c r="AB35" s="2"/>
      <c r="AC35" s="2"/>
      <c r="AD35" s="2"/>
      <c r="AE35" s="2"/>
      <c r="AF35" s="2"/>
      <c r="AG35" s="2"/>
      <c r="AH35" s="2"/>
      <c r="AI35" s="2"/>
      <c r="AJ35" s="2"/>
      <c r="AK35" s="2"/>
      <c r="AL35" s="2"/>
      <c r="AM35" s="2"/>
      <c r="AN35" s="2"/>
    </row>
    <row r="36" spans="1:44" s="1" customFormat="1" ht="13" x14ac:dyDescent="0.3">
      <c r="A36" s="34"/>
      <c r="B36" s="213" t="s">
        <v>96</v>
      </c>
      <c r="C36" s="231">
        <v>12</v>
      </c>
      <c r="D36" s="213" t="s">
        <v>97</v>
      </c>
      <c r="E36" s="2"/>
      <c r="F36" s="2"/>
      <c r="G36" s="2"/>
      <c r="H36" s="3"/>
      <c r="I36" s="3"/>
      <c r="J36" s="3"/>
      <c r="K36" s="33"/>
      <c r="L36" s="33"/>
      <c r="M36" s="33"/>
      <c r="N36" s="33"/>
      <c r="O36" s="33"/>
      <c r="P36" s="34"/>
      <c r="Q36" s="34"/>
      <c r="R36" s="34"/>
      <c r="S36" s="34"/>
      <c r="T36" s="34"/>
      <c r="U36" s="34"/>
      <c r="V36" s="34"/>
      <c r="W36" s="2"/>
      <c r="X36" s="2"/>
      <c r="Y36" s="2"/>
      <c r="Z36" s="2"/>
      <c r="AA36" s="2"/>
      <c r="AB36" s="2"/>
      <c r="AC36" s="2"/>
      <c r="AD36" s="2"/>
      <c r="AE36" s="2"/>
      <c r="AF36" s="2"/>
      <c r="AG36" s="2"/>
      <c r="AH36" s="2"/>
      <c r="AI36" s="2"/>
      <c r="AJ36" s="2"/>
      <c r="AK36" s="2"/>
      <c r="AL36" s="2"/>
      <c r="AM36" s="2"/>
      <c r="AN36" s="2"/>
    </row>
    <row r="37" spans="1:44" s="1" customFormat="1" ht="13" x14ac:dyDescent="0.3">
      <c r="A37" s="34"/>
      <c r="B37" s="213" t="s">
        <v>98</v>
      </c>
      <c r="C37" s="231">
        <v>10</v>
      </c>
      <c r="D37" s="213" t="s">
        <v>97</v>
      </c>
      <c r="E37" s="2"/>
      <c r="F37" s="2"/>
      <c r="G37" s="2"/>
      <c r="H37" s="3"/>
      <c r="I37" s="3"/>
      <c r="J37" s="3"/>
      <c r="K37" s="33"/>
      <c r="L37" s="33"/>
      <c r="M37" s="33"/>
      <c r="N37" s="33"/>
      <c r="O37" s="33"/>
      <c r="P37" s="34"/>
      <c r="Q37" s="34"/>
      <c r="R37" s="34"/>
      <c r="S37" s="34"/>
      <c r="T37" s="34"/>
      <c r="U37" s="34"/>
      <c r="V37" s="34"/>
      <c r="W37" s="2"/>
      <c r="X37" s="2"/>
      <c r="Y37" s="2"/>
      <c r="Z37" s="2"/>
      <c r="AA37" s="2"/>
      <c r="AB37" s="2"/>
      <c r="AC37" s="2"/>
      <c r="AD37" s="2"/>
      <c r="AE37" s="2"/>
      <c r="AF37" s="2"/>
      <c r="AG37" s="2"/>
      <c r="AH37" s="2"/>
      <c r="AI37" s="2"/>
      <c r="AJ37" s="2"/>
      <c r="AK37" s="2"/>
      <c r="AL37" s="2"/>
      <c r="AM37" s="2"/>
      <c r="AN37" s="2"/>
    </row>
    <row r="38" spans="1:44" s="1" customFormat="1" ht="13" x14ac:dyDescent="0.3">
      <c r="A38" s="34"/>
      <c r="B38" s="213" t="s">
        <v>18</v>
      </c>
      <c r="C38" s="232">
        <f>C36*Åtgärdskostnad!C5+C37*Åtgärdskostnad!C6</f>
        <v>210006</v>
      </c>
      <c r="D38" s="210" t="s">
        <v>10</v>
      </c>
      <c r="E38" s="2"/>
      <c r="F38" s="2"/>
      <c r="G38" s="2"/>
      <c r="H38" s="3"/>
      <c r="I38" s="3"/>
      <c r="J38" s="3"/>
      <c r="K38" s="33"/>
      <c r="L38" s="33"/>
      <c r="M38" s="33"/>
      <c r="N38" s="33"/>
      <c r="O38" s="33"/>
      <c r="P38" s="34"/>
      <c r="Q38" s="34"/>
      <c r="R38" s="34"/>
      <c r="S38" s="34"/>
      <c r="T38" s="34"/>
      <c r="U38" s="34"/>
      <c r="V38" s="34"/>
      <c r="W38" s="2"/>
      <c r="X38" s="2"/>
      <c r="Y38" s="2"/>
      <c r="Z38" s="2"/>
      <c r="AA38" s="2"/>
      <c r="AB38" s="2"/>
      <c r="AC38" s="2"/>
      <c r="AD38" s="2"/>
      <c r="AE38" s="2"/>
      <c r="AF38" s="2"/>
      <c r="AG38" s="2"/>
      <c r="AH38" s="2"/>
      <c r="AI38" s="2"/>
      <c r="AJ38" s="2"/>
      <c r="AK38" s="2"/>
      <c r="AL38" s="2"/>
      <c r="AM38" s="2"/>
      <c r="AN38" s="2"/>
    </row>
    <row r="39" spans="1:44" s="1" customFormat="1" ht="13" x14ac:dyDescent="0.3">
      <c r="A39" s="93"/>
      <c r="B39" s="213" t="s">
        <v>81</v>
      </c>
      <c r="C39" s="233"/>
      <c r="D39" s="213" t="s">
        <v>10</v>
      </c>
      <c r="E39" s="2"/>
      <c r="F39" s="2"/>
      <c r="G39" s="2"/>
      <c r="H39" s="3"/>
      <c r="I39" s="3"/>
      <c r="J39" s="3"/>
      <c r="K39" s="33"/>
      <c r="L39" s="33"/>
      <c r="M39" s="33"/>
      <c r="N39" s="33"/>
      <c r="O39" s="33"/>
      <c r="P39" s="34"/>
      <c r="Q39" s="34"/>
      <c r="R39" s="34"/>
      <c r="S39" s="34"/>
      <c r="T39" s="34"/>
      <c r="U39" s="34"/>
      <c r="V39" s="34"/>
      <c r="W39" s="2"/>
      <c r="X39" s="2"/>
      <c r="Y39" s="2"/>
      <c r="Z39" s="2"/>
      <c r="AA39" s="2"/>
      <c r="AB39" s="2"/>
      <c r="AC39" s="2"/>
      <c r="AD39" s="2"/>
      <c r="AE39" s="2"/>
      <c r="AF39" s="2"/>
      <c r="AG39" s="2"/>
      <c r="AH39" s="2"/>
      <c r="AI39" s="2"/>
      <c r="AJ39" s="2"/>
      <c r="AK39" s="2"/>
      <c r="AL39" s="2"/>
      <c r="AM39" s="2"/>
      <c r="AN39" s="2"/>
    </row>
    <row r="40" spans="1:44" s="1" customFormat="1" ht="13" x14ac:dyDescent="0.3">
      <c r="A40" s="93"/>
      <c r="B40" s="213" t="s">
        <v>82</v>
      </c>
      <c r="C40" s="233"/>
      <c r="D40" s="210" t="s">
        <v>10</v>
      </c>
      <c r="E40" s="2"/>
      <c r="F40" s="2"/>
      <c r="G40" s="2"/>
      <c r="H40" s="3"/>
      <c r="I40" s="3"/>
      <c r="J40" s="3"/>
      <c r="K40" s="33"/>
      <c r="L40" s="33"/>
      <c r="M40" s="33"/>
      <c r="N40" s="33"/>
      <c r="O40" s="33"/>
      <c r="P40" s="34"/>
      <c r="Q40" s="34"/>
      <c r="R40" s="34"/>
      <c r="S40" s="34"/>
      <c r="T40" s="34"/>
      <c r="U40" s="34"/>
      <c r="V40" s="34"/>
      <c r="W40" s="2"/>
      <c r="X40" s="2"/>
      <c r="Y40" s="2"/>
      <c r="Z40" s="2"/>
      <c r="AA40" s="2"/>
      <c r="AB40" s="2"/>
      <c r="AC40" s="2"/>
      <c r="AD40" s="2"/>
      <c r="AE40" s="2"/>
      <c r="AF40" s="2"/>
      <c r="AG40" s="2"/>
      <c r="AH40" s="2"/>
      <c r="AI40" s="2"/>
      <c r="AJ40" s="2"/>
      <c r="AK40" s="2"/>
      <c r="AL40" s="2"/>
      <c r="AM40" s="2"/>
      <c r="AN40" s="2"/>
    </row>
    <row r="41" spans="1:44" s="1" customFormat="1" ht="13" x14ac:dyDescent="0.3">
      <c r="A41" s="93"/>
      <c r="B41" s="213" t="s">
        <v>104</v>
      </c>
      <c r="C41" s="234">
        <f>C38+C39+C40</f>
        <v>210006</v>
      </c>
      <c r="D41" s="210" t="s">
        <v>10</v>
      </c>
      <c r="E41" s="2"/>
      <c r="F41" s="2"/>
      <c r="G41" s="2"/>
      <c r="H41" s="3"/>
      <c r="I41" s="3"/>
      <c r="J41" s="3"/>
      <c r="K41" s="33"/>
      <c r="L41" s="33"/>
      <c r="M41" s="33"/>
      <c r="N41" s="33"/>
      <c r="O41" s="33"/>
      <c r="P41" s="34"/>
      <c r="Q41" s="34"/>
      <c r="R41" s="34"/>
      <c r="S41" s="34"/>
      <c r="T41" s="34"/>
      <c r="U41" s="34"/>
      <c r="V41" s="34"/>
      <c r="W41" s="2"/>
      <c r="X41" s="2"/>
      <c r="Y41" s="2"/>
      <c r="Z41" s="2"/>
      <c r="AA41" s="2"/>
      <c r="AB41" s="2"/>
      <c r="AC41" s="2"/>
      <c r="AD41" s="2"/>
      <c r="AE41" s="2"/>
      <c r="AF41" s="2"/>
      <c r="AG41" s="2"/>
      <c r="AH41" s="2"/>
      <c r="AI41" s="2"/>
      <c r="AJ41" s="2"/>
      <c r="AK41" s="2"/>
      <c r="AL41" s="2"/>
      <c r="AM41" s="2"/>
      <c r="AN41" s="2"/>
    </row>
    <row r="42" spans="1:44" ht="13" x14ac:dyDescent="0.3">
      <c r="A42" s="93"/>
      <c r="B42" s="213" t="s">
        <v>131</v>
      </c>
      <c r="C42" s="235">
        <v>960000</v>
      </c>
      <c r="D42" s="210" t="s">
        <v>10</v>
      </c>
      <c r="E42" s="3"/>
      <c r="F42" s="3"/>
      <c r="G42" s="3"/>
      <c r="H42" s="3"/>
      <c r="I42" s="3"/>
      <c r="J42" s="3"/>
      <c r="K42" s="33"/>
      <c r="AO42"/>
      <c r="AP42"/>
    </row>
    <row r="43" spans="1:44" ht="13" x14ac:dyDescent="0.3">
      <c r="A43" s="93"/>
      <c r="B43" s="210" t="s">
        <v>167</v>
      </c>
      <c r="C43" s="233"/>
      <c r="D43" s="210" t="s">
        <v>28</v>
      </c>
      <c r="E43" s="3"/>
      <c r="F43" s="3"/>
      <c r="G43" s="3"/>
      <c r="H43" s="3"/>
      <c r="I43" s="3"/>
      <c r="J43" s="3"/>
      <c r="K43" s="33"/>
      <c r="AO43"/>
      <c r="AP43"/>
    </row>
    <row r="44" spans="1:44" ht="13" x14ac:dyDescent="0.3">
      <c r="A44" s="93"/>
      <c r="B44" s="213" t="s">
        <v>132</v>
      </c>
      <c r="C44" s="236"/>
      <c r="D44" s="210" t="s">
        <v>28</v>
      </c>
      <c r="E44" s="77"/>
      <c r="F44" s="3"/>
      <c r="G44" s="3"/>
      <c r="H44" s="3"/>
      <c r="I44" s="3"/>
      <c r="J44" s="3"/>
      <c r="K44" s="33"/>
      <c r="AO44"/>
      <c r="AP44"/>
    </row>
    <row r="45" spans="1:44" s="3" customFormat="1" x14ac:dyDescent="0.25">
      <c r="A45" s="33"/>
      <c r="K45" s="33"/>
      <c r="L45" s="33"/>
      <c r="M45" s="33"/>
      <c r="N45" s="33"/>
      <c r="O45" s="33"/>
      <c r="P45" s="33"/>
      <c r="Q45" s="33"/>
      <c r="R45" s="33"/>
      <c r="S45" s="33"/>
      <c r="T45" s="33"/>
      <c r="U45" s="33"/>
      <c r="V45" s="33"/>
    </row>
    <row r="46" spans="1:44" s="1" customFormat="1" ht="13" x14ac:dyDescent="0.3">
      <c r="A46" s="33"/>
      <c r="B46" s="6" t="s">
        <v>5</v>
      </c>
      <c r="C46" s="6"/>
      <c r="D46" s="6"/>
      <c r="E46" s="3"/>
      <c r="F46" s="2"/>
      <c r="G46" s="2"/>
      <c r="H46" s="3"/>
      <c r="I46" s="3"/>
      <c r="J46" s="3"/>
      <c r="K46" s="33"/>
      <c r="L46" s="33"/>
      <c r="M46" s="33"/>
      <c r="N46" s="33"/>
      <c r="O46" s="33"/>
      <c r="P46" s="34"/>
      <c r="Q46" s="34"/>
      <c r="R46" s="34"/>
      <c r="S46" s="34"/>
      <c r="T46" s="34"/>
      <c r="U46" s="34"/>
      <c r="V46" s="34"/>
      <c r="W46" s="2"/>
      <c r="X46" s="2"/>
      <c r="Y46" s="2"/>
      <c r="Z46" s="2"/>
      <c r="AA46" s="2"/>
      <c r="AB46" s="2"/>
      <c r="AC46" s="2"/>
      <c r="AD46" s="2"/>
      <c r="AE46" s="2"/>
      <c r="AF46" s="2"/>
      <c r="AG46" s="2"/>
      <c r="AH46" s="2"/>
      <c r="AI46" s="2"/>
      <c r="AJ46" s="2"/>
      <c r="AK46" s="2"/>
      <c r="AL46" s="2"/>
      <c r="AM46" s="2"/>
    </row>
    <row r="47" spans="1:44" x14ac:dyDescent="0.25">
      <c r="B47" s="210"/>
      <c r="C47" s="192"/>
      <c r="D47" s="193"/>
      <c r="E47" s="3"/>
      <c r="F47" s="3"/>
      <c r="G47" s="3"/>
      <c r="H47" s="3"/>
      <c r="I47" s="3"/>
      <c r="J47" s="3"/>
      <c r="K47" s="33"/>
      <c r="AN47"/>
      <c r="AO47"/>
      <c r="AP47"/>
    </row>
    <row r="48" spans="1:44" ht="13" x14ac:dyDescent="0.3">
      <c r="B48" s="213" t="s">
        <v>133</v>
      </c>
      <c r="C48" s="218">
        <f>C41</f>
        <v>210006</v>
      </c>
      <c r="D48" s="237"/>
      <c r="E48" s="3"/>
      <c r="F48" s="13"/>
      <c r="G48" s="3"/>
      <c r="H48" s="3"/>
      <c r="I48" s="3"/>
      <c r="J48" s="3"/>
      <c r="K48" s="33"/>
      <c r="AN48"/>
      <c r="AO48"/>
      <c r="AP48"/>
    </row>
    <row r="49" spans="1:42" ht="13" x14ac:dyDescent="0.3">
      <c r="B49" s="213" t="s">
        <v>134</v>
      </c>
      <c r="C49" s="237">
        <f>C42</f>
        <v>960000</v>
      </c>
      <c r="D49" s="237"/>
      <c r="E49" s="3"/>
      <c r="F49" s="13"/>
      <c r="G49" s="3"/>
      <c r="H49" s="3"/>
      <c r="I49" s="3"/>
      <c r="J49" s="3"/>
      <c r="K49" s="33"/>
      <c r="AN49"/>
      <c r="AO49"/>
      <c r="AP49"/>
    </row>
    <row r="50" spans="1:42" ht="13" x14ac:dyDescent="0.3">
      <c r="B50" s="17"/>
      <c r="C50" s="20"/>
      <c r="D50" s="20"/>
      <c r="E50" s="3"/>
      <c r="F50" s="13"/>
      <c r="G50" s="3"/>
      <c r="H50" s="3"/>
      <c r="I50" s="3"/>
      <c r="J50" s="3"/>
      <c r="K50" s="33"/>
      <c r="AN50"/>
      <c r="AO50"/>
      <c r="AP50"/>
    </row>
    <row r="51" spans="1:42" x14ac:dyDescent="0.25">
      <c r="B51" s="210"/>
      <c r="C51" s="343" t="s">
        <v>23</v>
      </c>
      <c r="D51" s="339" t="s">
        <v>41</v>
      </c>
      <c r="E51" s="3"/>
      <c r="F51" s="13"/>
      <c r="G51" s="3"/>
      <c r="H51" s="3"/>
      <c r="I51" s="3"/>
      <c r="J51" s="3"/>
      <c r="K51" s="33"/>
      <c r="AN51"/>
      <c r="AO51"/>
      <c r="AP51"/>
    </row>
    <row r="52" spans="1:42" ht="13" x14ac:dyDescent="0.3">
      <c r="B52" s="213" t="s">
        <v>135</v>
      </c>
      <c r="C52" s="237">
        <f>C43</f>
        <v>0</v>
      </c>
      <c r="D52" s="237">
        <f>NuvFasadUtemiljö!K64</f>
        <v>0</v>
      </c>
      <c r="E52" s="3"/>
      <c r="F52" s="13"/>
      <c r="G52" s="3"/>
      <c r="H52" s="3"/>
      <c r="I52" s="3"/>
      <c r="J52" s="3"/>
      <c r="K52" s="33"/>
      <c r="AN52"/>
      <c r="AO52"/>
      <c r="AP52"/>
    </row>
    <row r="53" spans="1:42" ht="13" x14ac:dyDescent="0.3">
      <c r="B53" s="213" t="s">
        <v>132</v>
      </c>
      <c r="C53" s="237">
        <f>C44</f>
        <v>0</v>
      </c>
      <c r="D53" s="237">
        <f>NuvFasadUtemiljö!M64</f>
        <v>0</v>
      </c>
      <c r="E53" s="3"/>
      <c r="F53" s="13"/>
      <c r="G53" s="3"/>
      <c r="H53" s="3"/>
      <c r="I53" s="3"/>
      <c r="J53" s="3"/>
      <c r="K53" s="33"/>
      <c r="AN53"/>
      <c r="AO53"/>
      <c r="AP53"/>
    </row>
    <row r="54" spans="1:42" s="3" customFormat="1" x14ac:dyDescent="0.25">
      <c r="A54" s="33"/>
      <c r="B54" s="17"/>
      <c r="C54" s="17"/>
      <c r="D54" s="17"/>
      <c r="K54" s="33"/>
      <c r="L54" s="33"/>
      <c r="M54" s="33"/>
      <c r="N54" s="33"/>
      <c r="O54" s="33"/>
      <c r="P54" s="33"/>
      <c r="Q54" s="33"/>
      <c r="R54" s="33"/>
      <c r="S54" s="33"/>
      <c r="T54" s="33"/>
      <c r="U54" s="33"/>
      <c r="V54" s="33"/>
    </row>
    <row r="55" spans="1:42" x14ac:dyDescent="0.25">
      <c r="B55" s="210"/>
      <c r="C55" s="192" t="s">
        <v>139</v>
      </c>
      <c r="D55" s="238" t="s">
        <v>41</v>
      </c>
      <c r="E55" s="3"/>
      <c r="F55" s="3"/>
      <c r="G55" s="3"/>
      <c r="H55" s="3"/>
      <c r="I55" s="3"/>
      <c r="J55" s="3"/>
      <c r="K55" s="33"/>
      <c r="AN55"/>
      <c r="AO55"/>
      <c r="AP55"/>
    </row>
    <row r="56" spans="1:42" ht="13" x14ac:dyDescent="0.3">
      <c r="B56" s="213" t="s">
        <v>54</v>
      </c>
      <c r="C56" s="239">
        <f>I33</f>
        <v>31654.795339689652</v>
      </c>
      <c r="D56" s="240">
        <f>NuvFasadUtemiljö!C64</f>
        <v>501810.1919023419</v>
      </c>
      <c r="E56" s="3"/>
      <c r="F56" s="3"/>
      <c r="G56" s="3"/>
      <c r="H56" s="3"/>
      <c r="I56" s="3"/>
      <c r="J56" s="3"/>
      <c r="K56" s="33"/>
      <c r="AN56"/>
      <c r="AO56"/>
      <c r="AP56"/>
    </row>
    <row r="57" spans="1:42" ht="13" x14ac:dyDescent="0.3">
      <c r="B57" s="213" t="s">
        <v>53</v>
      </c>
      <c r="C57" s="239">
        <f>J33</f>
        <v>85010.803908528542</v>
      </c>
      <c r="D57" s="240">
        <f>NuvFasadUtemiljö!E64</f>
        <v>1347640.6138574423</v>
      </c>
      <c r="E57" s="3"/>
      <c r="F57" s="3"/>
      <c r="G57" s="3"/>
      <c r="H57" s="3"/>
      <c r="I57" s="3"/>
      <c r="J57" s="3"/>
      <c r="K57" s="33"/>
      <c r="AN57"/>
      <c r="AO57"/>
      <c r="AP57"/>
    </row>
    <row r="58" spans="1:42" ht="13" x14ac:dyDescent="0.3">
      <c r="B58" s="17"/>
      <c r="C58" s="21"/>
      <c r="D58" s="22"/>
      <c r="E58" s="3"/>
      <c r="F58" s="13"/>
      <c r="G58" s="3"/>
      <c r="H58" s="3"/>
      <c r="I58" s="3"/>
      <c r="J58" s="3"/>
      <c r="K58" s="33"/>
      <c r="AN58"/>
      <c r="AO58"/>
      <c r="AP58"/>
    </row>
    <row r="59" spans="1:42" ht="25" x14ac:dyDescent="0.25">
      <c r="B59" s="210"/>
      <c r="C59" s="339" t="s">
        <v>130</v>
      </c>
      <c r="D59" s="339" t="s">
        <v>316</v>
      </c>
      <c r="E59" s="3"/>
      <c r="F59" s="13"/>
      <c r="G59" s="3"/>
      <c r="H59" s="3"/>
      <c r="I59" s="3"/>
      <c r="J59" s="3"/>
      <c r="K59" s="33"/>
      <c r="AN59"/>
      <c r="AO59"/>
      <c r="AP59"/>
    </row>
    <row r="60" spans="1:42" ht="13" x14ac:dyDescent="0.3">
      <c r="B60" s="213" t="s">
        <v>214</v>
      </c>
      <c r="C60" s="239">
        <f>C49/C10*(C10-C8)</f>
        <v>320000</v>
      </c>
      <c r="D60" s="239">
        <f>C60/(1+C11)^(C8+1)</f>
        <v>155382.68890641027</v>
      </c>
      <c r="E60" s="3"/>
      <c r="F60" s="13"/>
      <c r="G60" s="3"/>
      <c r="H60" s="3"/>
      <c r="I60" s="3"/>
      <c r="J60" s="3"/>
      <c r="K60" s="33"/>
      <c r="M60" s="117"/>
      <c r="AN60"/>
      <c r="AO60"/>
      <c r="AP60"/>
    </row>
    <row r="61" spans="1:42" ht="13" x14ac:dyDescent="0.3">
      <c r="B61" s="17"/>
      <c r="C61" s="21"/>
      <c r="D61" s="22"/>
      <c r="E61" s="3"/>
      <c r="F61" s="13"/>
      <c r="G61" s="3"/>
      <c r="H61" s="3"/>
      <c r="I61" s="3"/>
      <c r="J61" s="3"/>
      <c r="K61" s="33"/>
      <c r="AN61"/>
      <c r="AO61"/>
      <c r="AP61"/>
    </row>
    <row r="62" spans="1:42" ht="13" x14ac:dyDescent="0.3">
      <c r="B62" s="210"/>
      <c r="C62" s="192" t="s">
        <v>41</v>
      </c>
      <c r="D62" s="241"/>
      <c r="E62" s="3"/>
      <c r="F62" s="13"/>
      <c r="G62" s="3"/>
      <c r="H62" s="3"/>
      <c r="I62" s="3"/>
      <c r="J62" s="3"/>
      <c r="K62" s="33"/>
      <c r="AN62"/>
      <c r="AO62"/>
      <c r="AP62"/>
    </row>
    <row r="63" spans="1:42" ht="13" x14ac:dyDescent="0.3">
      <c r="B63" s="210" t="s">
        <v>4</v>
      </c>
      <c r="C63" s="218">
        <f>D56+D57+D60</f>
        <v>2004833.4946661945</v>
      </c>
      <c r="D63" s="241"/>
      <c r="E63" s="3"/>
      <c r="F63" s="13"/>
      <c r="G63" s="3"/>
      <c r="H63" s="3"/>
      <c r="I63" s="3"/>
      <c r="J63" s="3"/>
      <c r="K63" s="33"/>
      <c r="AN63"/>
      <c r="AO63"/>
      <c r="AP63"/>
    </row>
    <row r="64" spans="1:42" ht="13" x14ac:dyDescent="0.3">
      <c r="B64" s="219" t="s">
        <v>314</v>
      </c>
      <c r="C64" s="220">
        <f>+C48+C49+D52+D53</f>
        <v>1170006</v>
      </c>
      <c r="D64" s="241"/>
      <c r="E64" s="3"/>
      <c r="F64" s="13"/>
      <c r="G64" s="3"/>
      <c r="H64" s="3"/>
      <c r="I64" s="3"/>
      <c r="J64" s="3"/>
      <c r="K64" s="33"/>
      <c r="AN64"/>
      <c r="AO64"/>
      <c r="AP64"/>
    </row>
    <row r="65" spans="1:42" ht="13" x14ac:dyDescent="0.3">
      <c r="B65" s="219" t="s">
        <v>315</v>
      </c>
      <c r="C65" s="220">
        <f>C64*C12</f>
        <v>234001.2</v>
      </c>
      <c r="D65" s="241"/>
      <c r="E65" s="3"/>
      <c r="F65" s="13"/>
      <c r="G65" s="3"/>
      <c r="H65" s="3"/>
      <c r="I65" s="3"/>
      <c r="J65" s="3"/>
      <c r="K65" s="33"/>
      <c r="AN65"/>
      <c r="AO65"/>
      <c r="AP65"/>
    </row>
    <row r="66" spans="1:42" s="3" customFormat="1" x14ac:dyDescent="0.25">
      <c r="A66" s="33"/>
      <c r="D66" s="18"/>
      <c r="E66" s="18"/>
      <c r="F66" s="18"/>
      <c r="K66" s="33"/>
      <c r="L66" s="33"/>
      <c r="M66" s="33"/>
      <c r="N66" s="33"/>
      <c r="O66" s="33"/>
      <c r="P66" s="33"/>
      <c r="Q66" s="33"/>
      <c r="R66" s="33"/>
      <c r="S66" s="33"/>
      <c r="T66" s="33"/>
      <c r="U66" s="33"/>
      <c r="V66" s="33"/>
    </row>
    <row r="67" spans="1:42" s="5" customFormat="1" ht="17.5" x14ac:dyDescent="0.35">
      <c r="A67" s="33"/>
      <c r="B67" s="187" t="s">
        <v>267</v>
      </c>
      <c r="C67" s="352">
        <f>C63-C64-C65</f>
        <v>600826.29466619459</v>
      </c>
      <c r="D67" s="14"/>
      <c r="E67" s="14"/>
      <c r="F67" s="14"/>
      <c r="G67" s="4"/>
      <c r="H67" s="3"/>
      <c r="I67" s="3"/>
      <c r="J67" s="3"/>
      <c r="K67" s="33"/>
      <c r="L67" s="33"/>
      <c r="M67" s="33"/>
      <c r="N67" s="33"/>
      <c r="O67" s="33"/>
      <c r="P67" s="31"/>
      <c r="Q67" s="31"/>
      <c r="R67" s="31"/>
      <c r="S67" s="31"/>
      <c r="T67" s="31"/>
      <c r="U67" s="31"/>
      <c r="V67" s="31"/>
      <c r="W67" s="4"/>
      <c r="X67" s="4"/>
      <c r="Y67" s="4"/>
      <c r="Z67" s="4"/>
      <c r="AA67" s="4"/>
      <c r="AB67" s="4"/>
      <c r="AC67" s="4"/>
      <c r="AD67" s="4"/>
      <c r="AE67" s="4"/>
      <c r="AF67" s="4"/>
      <c r="AG67" s="4"/>
      <c r="AH67" s="4"/>
      <c r="AI67" s="4"/>
      <c r="AJ67" s="4"/>
      <c r="AK67" s="4"/>
      <c r="AL67" s="4"/>
      <c r="AM67" s="4"/>
      <c r="AN67" s="4"/>
      <c r="AO67" s="4"/>
      <c r="AP67" s="4"/>
    </row>
    <row r="68" spans="1:42" s="3" customFormat="1" x14ac:dyDescent="0.25">
      <c r="A68" s="33"/>
      <c r="C68" s="45"/>
      <c r="K68" s="33"/>
      <c r="L68" s="33"/>
      <c r="M68" s="33"/>
      <c r="N68" s="33"/>
      <c r="O68" s="33"/>
      <c r="P68" s="33"/>
      <c r="Q68" s="33"/>
      <c r="R68" s="33"/>
      <c r="S68" s="33"/>
      <c r="T68" s="33"/>
      <c r="U68" s="33"/>
      <c r="V68" s="33"/>
    </row>
    <row r="69" spans="1:42" s="3" customFormat="1" ht="17.5" x14ac:dyDescent="0.35">
      <c r="A69" s="33"/>
      <c r="B69" s="71" t="s">
        <v>268</v>
      </c>
      <c r="C69" s="353">
        <f>+C67/C64</f>
        <v>0.51352411412094856</v>
      </c>
      <c r="K69" s="33"/>
      <c r="L69" s="33"/>
      <c r="M69" s="33"/>
      <c r="N69" s="33"/>
      <c r="O69" s="33"/>
      <c r="P69" s="33"/>
      <c r="Q69" s="33"/>
      <c r="R69" s="33"/>
      <c r="S69" s="33"/>
      <c r="T69" s="33"/>
      <c r="U69" s="33"/>
      <c r="V69" s="33"/>
    </row>
    <row r="70" spans="1:42" s="3" customFormat="1" ht="17.5" x14ac:dyDescent="0.35">
      <c r="A70" s="33"/>
      <c r="B70" s="189"/>
      <c r="C70" s="351"/>
      <c r="K70" s="33"/>
      <c r="L70" s="33"/>
      <c r="M70" s="33"/>
      <c r="N70" s="33"/>
      <c r="O70" s="33"/>
      <c r="P70" s="33"/>
      <c r="Q70" s="33"/>
      <c r="R70" s="33"/>
      <c r="S70" s="33"/>
      <c r="T70" s="33"/>
      <c r="U70" s="33"/>
      <c r="V70" s="33"/>
    </row>
    <row r="71" spans="1:42" s="3" customFormat="1" ht="17.5" x14ac:dyDescent="0.35">
      <c r="A71" s="33"/>
      <c r="B71" s="71" t="s">
        <v>277</v>
      </c>
      <c r="C71" s="353">
        <f>+(C63-C65)/C64</f>
        <v>1.5135241141209486</v>
      </c>
      <c r="K71" s="33"/>
      <c r="L71" s="33"/>
      <c r="M71" s="33"/>
      <c r="N71" s="33"/>
      <c r="O71" s="33"/>
      <c r="P71" s="33"/>
      <c r="Q71" s="33"/>
      <c r="R71" s="33"/>
      <c r="S71" s="33"/>
      <c r="T71" s="33"/>
      <c r="U71" s="33"/>
      <c r="V71" s="33"/>
    </row>
    <row r="72" spans="1:42" s="3" customFormat="1" x14ac:dyDescent="0.25">
      <c r="A72" s="33"/>
      <c r="K72" s="33"/>
      <c r="L72" s="33"/>
      <c r="M72" s="33"/>
      <c r="N72" s="33"/>
      <c r="O72" s="33"/>
      <c r="P72" s="33"/>
      <c r="Q72" s="33"/>
      <c r="R72" s="33"/>
      <c r="S72" s="33"/>
      <c r="T72" s="33"/>
      <c r="U72" s="33"/>
      <c r="V72" s="33"/>
    </row>
    <row r="73" spans="1:42" s="3" customFormat="1" x14ac:dyDescent="0.25">
      <c r="A73" s="33"/>
      <c r="K73" s="33"/>
      <c r="L73" s="33"/>
      <c r="M73" s="33"/>
      <c r="N73" s="33"/>
      <c r="O73" s="33"/>
      <c r="P73" s="33"/>
      <c r="Q73" s="33"/>
      <c r="R73" s="33"/>
      <c r="S73" s="33"/>
      <c r="T73" s="33"/>
      <c r="U73" s="33"/>
      <c r="V73" s="33"/>
    </row>
    <row r="74" spans="1:42" s="3" customFormat="1" x14ac:dyDescent="0.25">
      <c r="A74" s="33"/>
      <c r="K74" s="33"/>
      <c r="L74" s="33"/>
      <c r="M74" s="33"/>
      <c r="N74" s="33"/>
      <c r="O74" s="33"/>
      <c r="P74" s="33"/>
      <c r="Q74" s="33"/>
      <c r="R74" s="33"/>
      <c r="S74" s="33"/>
      <c r="T74" s="33"/>
      <c r="U74" s="33"/>
      <c r="V74" s="33"/>
    </row>
    <row r="75" spans="1:42" s="3" customFormat="1" x14ac:dyDescent="0.25">
      <c r="A75" s="33"/>
      <c r="K75" s="33"/>
      <c r="L75" s="33"/>
      <c r="M75" s="33"/>
      <c r="N75" s="33"/>
      <c r="O75" s="33"/>
      <c r="P75" s="33"/>
      <c r="Q75" s="33"/>
      <c r="R75" s="33"/>
      <c r="S75" s="33"/>
      <c r="T75" s="33"/>
      <c r="U75" s="33"/>
      <c r="V75" s="33"/>
    </row>
    <row r="76" spans="1:42" s="3" customFormat="1" x14ac:dyDescent="0.25">
      <c r="A76" s="33"/>
      <c r="K76" s="33"/>
      <c r="L76" s="33"/>
      <c r="M76" s="33"/>
      <c r="N76" s="33"/>
      <c r="O76" s="33"/>
      <c r="P76" s="33"/>
      <c r="Q76" s="33"/>
      <c r="R76" s="33"/>
      <c r="S76" s="33"/>
      <c r="T76" s="33"/>
      <c r="U76" s="33"/>
      <c r="V76" s="33"/>
    </row>
    <row r="77" spans="1:42" s="3" customFormat="1" x14ac:dyDescent="0.25">
      <c r="A77" s="33"/>
      <c r="K77" s="33"/>
      <c r="L77" s="33"/>
      <c r="M77" s="33"/>
      <c r="N77" s="33"/>
      <c r="O77" s="33"/>
      <c r="P77" s="33"/>
      <c r="Q77" s="33"/>
      <c r="R77" s="33"/>
      <c r="S77" s="33"/>
      <c r="T77" s="33"/>
      <c r="U77" s="33"/>
      <c r="V77" s="33"/>
    </row>
    <row r="78" spans="1:42" s="3" customFormat="1" x14ac:dyDescent="0.25">
      <c r="A78" s="33"/>
      <c r="K78" s="33"/>
      <c r="L78" s="33"/>
      <c r="M78" s="33"/>
      <c r="N78" s="33"/>
      <c r="O78" s="33"/>
      <c r="P78" s="33"/>
      <c r="Q78" s="33"/>
      <c r="R78" s="33"/>
      <c r="S78" s="33"/>
      <c r="T78" s="33"/>
      <c r="U78" s="33"/>
      <c r="V78" s="33"/>
    </row>
    <row r="79" spans="1:42" s="3" customFormat="1" x14ac:dyDescent="0.25">
      <c r="A79" s="33"/>
      <c r="K79" s="33"/>
      <c r="L79" s="33"/>
      <c r="M79" s="33"/>
      <c r="N79" s="33"/>
      <c r="O79" s="33"/>
      <c r="P79" s="33"/>
      <c r="Q79" s="33"/>
      <c r="R79" s="33"/>
      <c r="S79" s="33"/>
      <c r="T79" s="33"/>
      <c r="U79" s="33"/>
      <c r="V79" s="33"/>
    </row>
    <row r="80" spans="1:42" s="3" customFormat="1" x14ac:dyDescent="0.25">
      <c r="A80" s="33"/>
      <c r="K80" s="33"/>
      <c r="L80" s="33"/>
      <c r="M80" s="33"/>
      <c r="N80" s="33"/>
      <c r="O80" s="33"/>
      <c r="P80" s="33"/>
      <c r="Q80" s="33"/>
      <c r="R80" s="33"/>
      <c r="S80" s="33"/>
      <c r="T80" s="33"/>
      <c r="U80" s="33"/>
      <c r="V80" s="33"/>
    </row>
    <row r="81" spans="1:22" s="3" customFormat="1" x14ac:dyDescent="0.25">
      <c r="A81" s="33"/>
      <c r="K81" s="33"/>
      <c r="L81" s="33"/>
      <c r="M81" s="33"/>
      <c r="N81" s="33"/>
      <c r="O81" s="33"/>
      <c r="P81" s="33"/>
      <c r="Q81" s="33"/>
      <c r="R81" s="33"/>
      <c r="S81" s="33"/>
      <c r="T81" s="33"/>
      <c r="U81" s="33"/>
      <c r="V81" s="33"/>
    </row>
    <row r="82" spans="1:22" s="3" customFormat="1" x14ac:dyDescent="0.25">
      <c r="A82" s="33"/>
      <c r="K82" s="33"/>
      <c r="L82" s="33"/>
      <c r="M82" s="33"/>
      <c r="N82" s="33"/>
      <c r="O82" s="33"/>
      <c r="P82" s="33"/>
      <c r="Q82" s="33"/>
      <c r="R82" s="33"/>
      <c r="S82" s="33"/>
      <c r="T82" s="33"/>
      <c r="U82" s="33"/>
      <c r="V82" s="33"/>
    </row>
    <row r="83" spans="1:22" s="3" customFormat="1" x14ac:dyDescent="0.25">
      <c r="A83" s="33"/>
      <c r="K83" s="33"/>
      <c r="L83" s="33"/>
      <c r="M83" s="33"/>
      <c r="N83" s="33"/>
      <c r="O83" s="33"/>
      <c r="P83" s="33"/>
      <c r="Q83" s="33"/>
      <c r="R83" s="33"/>
      <c r="S83" s="33"/>
      <c r="T83" s="33"/>
      <c r="U83" s="33"/>
      <c r="V83" s="33"/>
    </row>
    <row r="84" spans="1:22" s="3" customFormat="1" x14ac:dyDescent="0.25">
      <c r="A84" s="33"/>
      <c r="K84" s="33"/>
      <c r="L84" s="33"/>
      <c r="M84" s="33"/>
      <c r="N84" s="33"/>
      <c r="O84" s="33"/>
      <c r="P84" s="33"/>
      <c r="Q84" s="33"/>
      <c r="R84" s="33"/>
      <c r="S84" s="33"/>
      <c r="T84" s="33"/>
      <c r="U84" s="33"/>
      <c r="V84" s="33"/>
    </row>
    <row r="85" spans="1:22" s="3" customFormat="1" x14ac:dyDescent="0.25">
      <c r="A85" s="33"/>
      <c r="K85" s="33"/>
      <c r="L85" s="33"/>
      <c r="M85" s="33"/>
      <c r="N85" s="33"/>
      <c r="O85" s="33"/>
      <c r="P85" s="33"/>
      <c r="Q85" s="33"/>
      <c r="R85" s="33"/>
      <c r="S85" s="33"/>
      <c r="T85" s="33"/>
      <c r="U85" s="33"/>
      <c r="V85" s="33"/>
    </row>
    <row r="86" spans="1:22" s="3" customFormat="1" x14ac:dyDescent="0.25">
      <c r="A86" s="33"/>
      <c r="K86" s="33"/>
      <c r="L86" s="33"/>
      <c r="M86" s="33"/>
      <c r="N86" s="33"/>
      <c r="O86" s="33"/>
      <c r="P86" s="33"/>
      <c r="Q86" s="33"/>
      <c r="R86" s="33"/>
      <c r="S86" s="33"/>
      <c r="T86" s="33"/>
      <c r="U86" s="33"/>
      <c r="V86" s="33"/>
    </row>
    <row r="87" spans="1:22" s="3" customFormat="1" x14ac:dyDescent="0.25">
      <c r="A87" s="33"/>
      <c r="K87" s="33"/>
      <c r="L87" s="33"/>
      <c r="M87" s="33"/>
      <c r="N87" s="33"/>
      <c r="O87" s="33"/>
      <c r="P87" s="33"/>
      <c r="Q87" s="33"/>
      <c r="R87" s="33"/>
      <c r="S87" s="33"/>
      <c r="T87" s="33"/>
      <c r="U87" s="33"/>
      <c r="V87" s="33"/>
    </row>
    <row r="88" spans="1:22" s="3" customFormat="1" x14ac:dyDescent="0.25">
      <c r="A88" s="33"/>
      <c r="K88" s="33"/>
      <c r="L88" s="33"/>
      <c r="M88" s="33"/>
      <c r="N88" s="33"/>
      <c r="O88" s="33"/>
      <c r="P88" s="33"/>
      <c r="Q88" s="33"/>
      <c r="R88" s="33"/>
      <c r="S88" s="33"/>
      <c r="T88" s="33"/>
      <c r="U88" s="33"/>
      <c r="V88" s="33"/>
    </row>
    <row r="89" spans="1:22" s="3" customFormat="1" x14ac:dyDescent="0.25">
      <c r="A89" s="33"/>
      <c r="K89" s="33"/>
      <c r="L89" s="33"/>
      <c r="M89" s="33"/>
      <c r="N89" s="33"/>
      <c r="O89" s="33"/>
      <c r="P89" s="33"/>
      <c r="Q89" s="33"/>
      <c r="R89" s="33"/>
      <c r="S89" s="33"/>
      <c r="T89" s="33"/>
      <c r="U89" s="33"/>
      <c r="V89" s="33"/>
    </row>
    <row r="90" spans="1:22" s="3" customFormat="1" x14ac:dyDescent="0.25">
      <c r="A90" s="33"/>
      <c r="K90" s="33"/>
      <c r="L90" s="33"/>
      <c r="M90" s="33"/>
      <c r="N90" s="33"/>
      <c r="O90" s="33"/>
      <c r="P90" s="33"/>
      <c r="Q90" s="33"/>
      <c r="R90" s="33"/>
      <c r="S90" s="33"/>
      <c r="T90" s="33"/>
      <c r="U90" s="33"/>
      <c r="V90" s="33"/>
    </row>
    <row r="91" spans="1:22" s="3" customFormat="1" x14ac:dyDescent="0.25">
      <c r="A91" s="33"/>
      <c r="K91" s="33"/>
      <c r="L91" s="33"/>
      <c r="M91" s="33"/>
      <c r="N91" s="33"/>
      <c r="O91" s="33"/>
      <c r="P91" s="33"/>
      <c r="Q91" s="33"/>
      <c r="R91" s="33"/>
      <c r="S91" s="33"/>
      <c r="T91" s="33"/>
      <c r="U91" s="33"/>
      <c r="V91" s="33"/>
    </row>
    <row r="92" spans="1:22" s="3" customFormat="1" x14ac:dyDescent="0.25">
      <c r="A92" s="33"/>
      <c r="K92" s="33"/>
      <c r="L92" s="33"/>
      <c r="M92" s="33"/>
      <c r="N92" s="33"/>
      <c r="O92" s="33"/>
      <c r="P92" s="33"/>
      <c r="Q92" s="33"/>
      <c r="R92" s="33"/>
      <c r="S92" s="33"/>
      <c r="T92" s="33"/>
      <c r="U92" s="33"/>
      <c r="V92" s="33"/>
    </row>
    <row r="93" spans="1:22" s="3" customFormat="1" x14ac:dyDescent="0.25">
      <c r="A93" s="33"/>
      <c r="K93" s="33"/>
      <c r="L93" s="33"/>
      <c r="M93" s="33"/>
      <c r="N93" s="33"/>
      <c r="O93" s="33"/>
      <c r="P93" s="33"/>
      <c r="Q93" s="33"/>
      <c r="R93" s="33"/>
      <c r="S93" s="33"/>
      <c r="T93" s="33"/>
      <c r="U93" s="33"/>
      <c r="V93" s="33"/>
    </row>
    <row r="94" spans="1:22" s="3" customFormat="1" x14ac:dyDescent="0.25">
      <c r="A94" s="33"/>
      <c r="K94" s="33"/>
      <c r="L94" s="33"/>
      <c r="M94" s="33"/>
      <c r="N94" s="33"/>
      <c r="O94" s="33"/>
      <c r="P94" s="33"/>
      <c r="Q94" s="33"/>
      <c r="R94" s="33"/>
      <c r="S94" s="33"/>
      <c r="T94" s="33"/>
      <c r="U94" s="33"/>
      <c r="V94" s="33"/>
    </row>
    <row r="95" spans="1:22" s="3" customFormat="1" x14ac:dyDescent="0.25">
      <c r="A95" s="33"/>
      <c r="K95" s="33"/>
      <c r="L95" s="33"/>
      <c r="M95" s="33"/>
      <c r="N95" s="33"/>
      <c r="O95" s="33"/>
      <c r="P95" s="33"/>
      <c r="Q95" s="33"/>
      <c r="R95" s="33"/>
      <c r="S95" s="33"/>
      <c r="T95" s="33"/>
      <c r="U95" s="33"/>
      <c r="V95" s="33"/>
    </row>
    <row r="96" spans="1:22" s="3" customFormat="1" x14ac:dyDescent="0.25">
      <c r="A96" s="33"/>
      <c r="K96" s="33"/>
      <c r="L96" s="33"/>
      <c r="M96" s="33"/>
      <c r="N96" s="33"/>
      <c r="O96" s="33"/>
      <c r="P96" s="33"/>
      <c r="Q96" s="33"/>
      <c r="R96" s="33"/>
      <c r="S96" s="33"/>
      <c r="T96" s="33"/>
      <c r="U96" s="33"/>
      <c r="V96" s="33"/>
    </row>
    <row r="97" spans="1:22" s="3" customFormat="1" x14ac:dyDescent="0.25">
      <c r="A97" s="33"/>
      <c r="K97" s="33"/>
      <c r="L97" s="33"/>
      <c r="M97" s="33"/>
      <c r="N97" s="33"/>
      <c r="O97" s="33"/>
      <c r="P97" s="33"/>
      <c r="Q97" s="33"/>
      <c r="R97" s="33"/>
      <c r="S97" s="33"/>
      <c r="T97" s="33"/>
      <c r="U97" s="33"/>
      <c r="V97" s="33"/>
    </row>
    <row r="98" spans="1:22" s="3" customFormat="1" x14ac:dyDescent="0.25">
      <c r="A98" s="33"/>
      <c r="K98" s="33"/>
      <c r="L98" s="33"/>
      <c r="M98" s="33"/>
      <c r="N98" s="33"/>
      <c r="O98" s="33"/>
      <c r="P98" s="33"/>
      <c r="Q98" s="33"/>
      <c r="R98" s="33"/>
      <c r="S98" s="33"/>
      <c r="T98" s="33"/>
      <c r="U98" s="33"/>
      <c r="V98" s="33"/>
    </row>
    <row r="99" spans="1:22" x14ac:dyDescent="0.25">
      <c r="B99" s="89"/>
      <c r="C99" s="89"/>
      <c r="D99" s="89"/>
      <c r="E99" s="89"/>
      <c r="F99" s="89"/>
      <c r="G99" s="89"/>
      <c r="H99" s="313"/>
      <c r="I99" s="313"/>
      <c r="J99" s="313"/>
      <c r="K99" s="40"/>
    </row>
    <row r="100" spans="1:22" x14ac:dyDescent="0.25">
      <c r="B100" s="89"/>
      <c r="C100" s="89"/>
      <c r="D100" s="89"/>
      <c r="E100" s="89"/>
      <c r="F100" s="89"/>
      <c r="G100" s="89"/>
      <c r="H100" s="313"/>
      <c r="I100" s="313"/>
      <c r="J100" s="313"/>
      <c r="K100" s="40"/>
    </row>
    <row r="101" spans="1:22" x14ac:dyDescent="0.25">
      <c r="B101" s="89"/>
      <c r="C101" s="89"/>
      <c r="D101" s="89"/>
      <c r="E101" s="89"/>
      <c r="F101" s="89"/>
      <c r="G101" s="89"/>
      <c r="H101" s="313"/>
      <c r="I101" s="313"/>
      <c r="J101" s="313"/>
      <c r="K101" s="40"/>
    </row>
    <row r="102" spans="1:22" x14ac:dyDescent="0.25">
      <c r="B102" s="89"/>
      <c r="C102" s="89"/>
      <c r="D102" s="89"/>
      <c r="E102" s="89"/>
      <c r="F102" s="89"/>
      <c r="G102" s="89"/>
      <c r="H102" s="313"/>
      <c r="I102" s="313"/>
      <c r="J102" s="313"/>
      <c r="K102" s="40"/>
    </row>
    <row r="103" spans="1:22" x14ac:dyDescent="0.25">
      <c r="B103" s="89"/>
      <c r="C103" s="89"/>
      <c r="D103" s="89"/>
      <c r="E103" s="89"/>
      <c r="F103" s="89"/>
      <c r="G103" s="89"/>
      <c r="H103" s="313"/>
      <c r="I103" s="313"/>
      <c r="J103" s="313"/>
      <c r="K103" s="40"/>
    </row>
    <row r="104" spans="1:22" x14ac:dyDescent="0.25">
      <c r="B104" s="89"/>
      <c r="C104" s="89"/>
      <c r="D104" s="89"/>
      <c r="E104" s="89"/>
      <c r="F104" s="89"/>
      <c r="G104" s="89"/>
      <c r="H104" s="313"/>
      <c r="I104" s="313"/>
      <c r="J104" s="313"/>
      <c r="K104" s="40"/>
    </row>
    <row r="105" spans="1:22" x14ac:dyDescent="0.25">
      <c r="B105" s="89"/>
      <c r="C105" s="89"/>
      <c r="D105" s="89"/>
      <c r="E105" s="89"/>
      <c r="F105" s="89"/>
      <c r="G105" s="89"/>
      <c r="H105" s="313"/>
      <c r="I105" s="313"/>
      <c r="J105" s="313"/>
      <c r="K105" s="40"/>
    </row>
    <row r="106" spans="1:22" x14ac:dyDescent="0.25">
      <c r="B106" s="89"/>
      <c r="C106" s="89"/>
      <c r="D106" s="89"/>
      <c r="E106" s="89"/>
      <c r="F106" s="89"/>
      <c r="G106" s="89"/>
      <c r="H106" s="313"/>
      <c r="I106" s="313"/>
      <c r="J106" s="313"/>
      <c r="K106" s="40"/>
    </row>
    <row r="107" spans="1:22" x14ac:dyDescent="0.25">
      <c r="B107" s="89"/>
      <c r="C107" s="89"/>
      <c r="D107" s="89"/>
      <c r="E107" s="89"/>
      <c r="F107" s="89"/>
      <c r="G107" s="89"/>
      <c r="H107" s="313"/>
      <c r="I107" s="313"/>
      <c r="J107" s="313"/>
      <c r="K107" s="40"/>
    </row>
    <row r="108" spans="1:22" x14ac:dyDescent="0.25">
      <c r="B108" s="89"/>
      <c r="C108" s="89"/>
      <c r="D108" s="89"/>
      <c r="E108" s="89"/>
      <c r="F108" s="89"/>
      <c r="G108" s="89"/>
      <c r="H108" s="313"/>
      <c r="I108" s="313"/>
      <c r="J108" s="313"/>
      <c r="K108" s="40"/>
    </row>
    <row r="109" spans="1:22" s="33" customFormat="1" x14ac:dyDescent="0.25">
      <c r="B109" s="40"/>
      <c r="C109" s="40"/>
      <c r="D109" s="40"/>
      <c r="E109" s="40"/>
      <c r="F109" s="40"/>
      <c r="G109" s="40"/>
      <c r="H109" s="40"/>
      <c r="I109" s="40"/>
      <c r="J109" s="40"/>
      <c r="K109" s="40"/>
    </row>
    <row r="110" spans="1:22" s="33" customFormat="1" x14ac:dyDescent="0.25">
      <c r="B110" s="40"/>
      <c r="C110" s="40"/>
      <c r="D110" s="40"/>
      <c r="E110" s="40"/>
      <c r="F110" s="40"/>
      <c r="G110" s="40"/>
      <c r="H110" s="40"/>
      <c r="I110" s="40"/>
      <c r="J110" s="40"/>
      <c r="K110" s="40"/>
    </row>
    <row r="111" spans="1:22" s="33" customFormat="1" x14ac:dyDescent="0.25">
      <c r="B111" s="40"/>
      <c r="C111" s="40"/>
      <c r="D111" s="40"/>
      <c r="E111" s="40"/>
      <c r="F111" s="40"/>
      <c r="G111" s="40"/>
      <c r="H111" s="40"/>
      <c r="I111" s="40"/>
      <c r="J111" s="40"/>
      <c r="K111" s="40"/>
    </row>
    <row r="112" spans="1:22" s="33" customFormat="1" x14ac:dyDescent="0.25">
      <c r="B112" s="40"/>
      <c r="C112" s="40"/>
      <c r="D112" s="40"/>
      <c r="E112" s="40"/>
      <c r="F112" s="40"/>
      <c r="G112" s="40"/>
      <c r="H112" s="40"/>
      <c r="I112" s="40"/>
      <c r="J112" s="40"/>
      <c r="K112" s="40"/>
    </row>
    <row r="113" spans="2:11" s="33" customFormat="1" x14ac:dyDescent="0.25">
      <c r="B113" s="40"/>
      <c r="C113" s="40"/>
      <c r="D113" s="40"/>
      <c r="E113" s="40"/>
      <c r="F113" s="40"/>
      <c r="G113" s="40"/>
      <c r="H113" s="40"/>
      <c r="I113" s="40"/>
      <c r="J113" s="40"/>
      <c r="K113" s="40"/>
    </row>
    <row r="114" spans="2:11" s="33" customFormat="1" x14ac:dyDescent="0.25">
      <c r="B114" s="40"/>
      <c r="C114" s="40"/>
      <c r="D114" s="40"/>
      <c r="E114" s="40"/>
      <c r="F114" s="40"/>
      <c r="G114" s="40"/>
      <c r="H114" s="40"/>
      <c r="I114" s="40"/>
      <c r="J114" s="40"/>
      <c r="K114" s="40"/>
    </row>
    <row r="115" spans="2:11" s="33" customFormat="1" x14ac:dyDescent="0.25">
      <c r="B115" s="40"/>
      <c r="C115" s="40"/>
      <c r="D115" s="40"/>
      <c r="E115" s="40"/>
      <c r="F115" s="40"/>
      <c r="G115" s="40"/>
      <c r="H115" s="40"/>
      <c r="I115" s="40"/>
      <c r="J115" s="40"/>
      <c r="K115" s="40"/>
    </row>
    <row r="116" spans="2:11" s="33" customFormat="1" x14ac:dyDescent="0.25">
      <c r="B116" s="40"/>
      <c r="C116" s="40"/>
      <c r="D116" s="40"/>
      <c r="E116" s="40"/>
      <c r="F116" s="40"/>
      <c r="G116" s="40"/>
      <c r="H116" s="40"/>
      <c r="I116" s="40"/>
      <c r="J116" s="40"/>
      <c r="K116" s="40"/>
    </row>
    <row r="117" spans="2:11" s="33" customFormat="1" x14ac:dyDescent="0.25">
      <c r="B117" s="40"/>
      <c r="C117" s="40"/>
      <c r="D117" s="40"/>
      <c r="E117" s="40"/>
      <c r="F117" s="40"/>
      <c r="G117" s="40"/>
      <c r="H117" s="40"/>
      <c r="I117" s="40"/>
      <c r="J117" s="40"/>
      <c r="K117" s="40"/>
    </row>
    <row r="118" spans="2:11" s="33" customFormat="1" x14ac:dyDescent="0.25">
      <c r="B118" s="40"/>
      <c r="C118" s="40"/>
      <c r="D118" s="40"/>
      <c r="E118" s="40"/>
      <c r="F118" s="40"/>
      <c r="G118" s="40"/>
      <c r="H118" s="40"/>
      <c r="I118" s="40"/>
      <c r="J118" s="40"/>
      <c r="K118" s="40"/>
    </row>
    <row r="119" spans="2:11" s="33" customFormat="1" x14ac:dyDescent="0.25">
      <c r="B119" s="40"/>
      <c r="C119" s="40"/>
      <c r="D119" s="40"/>
      <c r="E119" s="40"/>
      <c r="F119" s="40"/>
      <c r="G119" s="40"/>
      <c r="H119" s="40"/>
      <c r="I119" s="40"/>
      <c r="J119" s="40"/>
      <c r="K119" s="40"/>
    </row>
    <row r="120" spans="2:11" s="33" customFormat="1" x14ac:dyDescent="0.25">
      <c r="B120" s="40"/>
      <c r="C120" s="40"/>
      <c r="D120" s="40"/>
      <c r="E120" s="40"/>
      <c r="F120" s="40"/>
      <c r="G120" s="40"/>
      <c r="H120" s="40"/>
      <c r="I120" s="40"/>
      <c r="J120" s="40"/>
      <c r="K120" s="40"/>
    </row>
    <row r="121" spans="2:11" s="33" customFormat="1" x14ac:dyDescent="0.25">
      <c r="B121" s="40"/>
      <c r="C121" s="40"/>
      <c r="D121" s="40"/>
      <c r="E121" s="40"/>
      <c r="F121" s="40"/>
      <c r="G121" s="40"/>
      <c r="H121" s="40"/>
      <c r="I121" s="40"/>
      <c r="J121" s="40"/>
      <c r="K121" s="40"/>
    </row>
    <row r="122" spans="2:11" s="33" customFormat="1" x14ac:dyDescent="0.25">
      <c r="B122" s="40"/>
      <c r="C122" s="40"/>
      <c r="D122" s="40"/>
      <c r="E122" s="40"/>
      <c r="F122" s="40"/>
      <c r="G122" s="40"/>
      <c r="H122" s="40"/>
      <c r="I122" s="40"/>
      <c r="J122" s="40"/>
      <c r="K122" s="40"/>
    </row>
    <row r="123" spans="2:11" s="33" customFormat="1" x14ac:dyDescent="0.25">
      <c r="B123" s="40"/>
      <c r="C123" s="40"/>
      <c r="D123" s="40"/>
      <c r="E123" s="40"/>
      <c r="F123" s="40"/>
      <c r="G123" s="40"/>
      <c r="H123" s="40"/>
      <c r="I123" s="40"/>
      <c r="J123" s="40"/>
      <c r="K123" s="40"/>
    </row>
    <row r="124" spans="2:11" s="33" customFormat="1" x14ac:dyDescent="0.25">
      <c r="B124" s="40"/>
      <c r="C124" s="40"/>
      <c r="D124" s="40"/>
      <c r="E124" s="40"/>
      <c r="F124" s="40"/>
      <c r="G124" s="40"/>
      <c r="H124" s="40"/>
      <c r="I124" s="40"/>
      <c r="J124" s="40"/>
      <c r="K124" s="40"/>
    </row>
    <row r="125" spans="2:11" s="33" customFormat="1" x14ac:dyDescent="0.25">
      <c r="B125" s="40"/>
      <c r="C125" s="40"/>
      <c r="D125" s="40"/>
      <c r="E125" s="40"/>
      <c r="F125" s="40"/>
      <c r="G125" s="40"/>
      <c r="H125" s="40"/>
      <c r="I125" s="40"/>
      <c r="J125" s="40"/>
      <c r="K125" s="40"/>
    </row>
    <row r="126" spans="2:11" s="33" customFormat="1" x14ac:dyDescent="0.25">
      <c r="B126" s="40"/>
      <c r="C126" s="40"/>
      <c r="D126" s="40"/>
      <c r="E126" s="40"/>
      <c r="F126" s="40"/>
      <c r="G126" s="40"/>
      <c r="H126" s="40"/>
      <c r="I126" s="40"/>
      <c r="J126" s="40"/>
      <c r="K126" s="40"/>
    </row>
    <row r="127" spans="2:11" s="33" customFormat="1" x14ac:dyDescent="0.25">
      <c r="B127" s="40"/>
      <c r="C127" s="40"/>
      <c r="D127" s="40"/>
      <c r="E127" s="40"/>
      <c r="F127" s="40"/>
      <c r="G127" s="40"/>
      <c r="H127" s="40"/>
      <c r="I127" s="40"/>
      <c r="J127" s="40"/>
      <c r="K127" s="40"/>
    </row>
    <row r="128" spans="2:11" s="33" customFormat="1" x14ac:dyDescent="0.25">
      <c r="B128" s="40"/>
      <c r="C128" s="40"/>
      <c r="D128" s="40"/>
      <c r="E128" s="40"/>
      <c r="F128" s="40"/>
      <c r="G128" s="40"/>
      <c r="H128" s="40"/>
      <c r="I128" s="40"/>
      <c r="J128" s="40"/>
      <c r="K128" s="40"/>
    </row>
    <row r="129" spans="2:11" s="33" customFormat="1" x14ac:dyDescent="0.25">
      <c r="B129" s="40"/>
      <c r="C129" s="40"/>
      <c r="D129" s="40"/>
      <c r="E129" s="40"/>
      <c r="F129" s="40"/>
      <c r="G129" s="40"/>
      <c r="H129" s="40"/>
      <c r="I129" s="40"/>
      <c r="J129" s="40"/>
      <c r="K129" s="40"/>
    </row>
    <row r="130" spans="2:11" s="33" customFormat="1" x14ac:dyDescent="0.25">
      <c r="B130" s="40"/>
      <c r="C130" s="40"/>
      <c r="D130" s="40"/>
      <c r="E130" s="40"/>
      <c r="F130" s="40"/>
      <c r="G130" s="40"/>
      <c r="H130" s="40"/>
      <c r="I130" s="40"/>
      <c r="J130" s="40"/>
      <c r="K130" s="40"/>
    </row>
    <row r="131" spans="2:11" s="33" customFormat="1" x14ac:dyDescent="0.25">
      <c r="B131" s="40"/>
      <c r="C131" s="40"/>
      <c r="D131" s="40"/>
      <c r="E131" s="40"/>
      <c r="F131" s="40"/>
      <c r="G131" s="40"/>
      <c r="H131" s="40"/>
      <c r="I131" s="40"/>
      <c r="J131" s="40"/>
      <c r="K131" s="40"/>
    </row>
    <row r="132" spans="2:11" s="33" customFormat="1" x14ac:dyDescent="0.25">
      <c r="B132" s="40"/>
      <c r="C132" s="40"/>
      <c r="D132" s="40"/>
      <c r="E132" s="40"/>
      <c r="F132" s="40"/>
      <c r="G132" s="40"/>
      <c r="H132" s="40"/>
      <c r="I132" s="40"/>
      <c r="J132" s="40"/>
      <c r="K132" s="40"/>
    </row>
    <row r="133" spans="2:11" s="33" customFormat="1" x14ac:dyDescent="0.25">
      <c r="B133" s="40"/>
      <c r="C133" s="40"/>
      <c r="D133" s="40"/>
      <c r="E133" s="40"/>
      <c r="F133" s="40"/>
      <c r="G133" s="40"/>
      <c r="H133" s="40"/>
      <c r="I133" s="40"/>
      <c r="J133" s="40"/>
      <c r="K133" s="40"/>
    </row>
    <row r="134" spans="2:11" s="33" customFormat="1" x14ac:dyDescent="0.25">
      <c r="B134" s="40"/>
      <c r="C134" s="40"/>
      <c r="D134" s="40"/>
      <c r="E134" s="40"/>
      <c r="F134" s="40"/>
      <c r="G134" s="40"/>
      <c r="H134" s="40"/>
      <c r="I134" s="40"/>
      <c r="J134" s="40"/>
      <c r="K134" s="40"/>
    </row>
    <row r="135" spans="2:11" s="33" customFormat="1" x14ac:dyDescent="0.25">
      <c r="B135" s="40"/>
      <c r="C135" s="40"/>
      <c r="D135" s="40"/>
      <c r="E135" s="40"/>
      <c r="F135" s="40"/>
      <c r="G135" s="40"/>
      <c r="H135" s="40"/>
      <c r="I135" s="40"/>
      <c r="J135" s="40"/>
      <c r="K135" s="40"/>
    </row>
    <row r="136" spans="2:11" s="33" customFormat="1" x14ac:dyDescent="0.25">
      <c r="B136" s="40"/>
      <c r="C136" s="40"/>
      <c r="D136" s="40"/>
      <c r="E136" s="40"/>
      <c r="F136" s="40"/>
      <c r="G136" s="40"/>
      <c r="H136" s="40"/>
      <c r="I136" s="40"/>
      <c r="J136" s="40"/>
      <c r="K136" s="40"/>
    </row>
    <row r="137" spans="2:11" s="33" customFormat="1" x14ac:dyDescent="0.25">
      <c r="B137" s="40"/>
      <c r="C137" s="40"/>
      <c r="D137" s="40"/>
      <c r="E137" s="40"/>
      <c r="F137" s="40"/>
      <c r="G137" s="40"/>
      <c r="H137" s="40"/>
      <c r="I137" s="40"/>
      <c r="J137" s="40"/>
      <c r="K137" s="40"/>
    </row>
    <row r="138" spans="2:11" s="33" customFormat="1" x14ac:dyDescent="0.25">
      <c r="B138" s="40"/>
      <c r="C138" s="40"/>
      <c r="D138" s="40"/>
      <c r="E138" s="40"/>
      <c r="F138" s="40"/>
      <c r="G138" s="40"/>
      <c r="H138" s="40"/>
      <c r="I138" s="40"/>
      <c r="J138" s="40"/>
      <c r="K138" s="40"/>
    </row>
    <row r="139" spans="2:11" s="33" customFormat="1" x14ac:dyDescent="0.25">
      <c r="B139" s="40"/>
      <c r="C139" s="40"/>
      <c r="D139" s="40"/>
      <c r="E139" s="40"/>
      <c r="F139" s="40"/>
      <c r="G139" s="40"/>
      <c r="H139" s="40"/>
      <c r="I139" s="40"/>
      <c r="J139" s="40"/>
      <c r="K139" s="40"/>
    </row>
    <row r="140" spans="2:11" s="33" customFormat="1" x14ac:dyDescent="0.25">
      <c r="B140" s="40"/>
      <c r="C140" s="40"/>
      <c r="D140" s="40"/>
      <c r="E140" s="40"/>
      <c r="F140" s="40"/>
      <c r="G140" s="40"/>
      <c r="H140" s="40"/>
      <c r="I140" s="40"/>
      <c r="J140" s="40"/>
      <c r="K140" s="40"/>
    </row>
    <row r="141" spans="2:11" s="33" customFormat="1" x14ac:dyDescent="0.25">
      <c r="B141" s="40"/>
      <c r="C141" s="40"/>
      <c r="D141" s="40"/>
      <c r="E141" s="40"/>
      <c r="F141" s="40"/>
      <c r="G141" s="40"/>
      <c r="H141" s="40"/>
      <c r="I141" s="40"/>
      <c r="J141" s="40"/>
      <c r="K141" s="40"/>
    </row>
    <row r="142" spans="2:11" s="33" customFormat="1" x14ac:dyDescent="0.25">
      <c r="B142" s="40"/>
      <c r="C142" s="40"/>
      <c r="D142" s="40"/>
      <c r="E142" s="40"/>
      <c r="F142" s="40"/>
      <c r="G142" s="40"/>
      <c r="H142" s="40"/>
      <c r="I142" s="40"/>
      <c r="J142" s="40"/>
      <c r="K142" s="40"/>
    </row>
    <row r="143" spans="2:11" s="33" customFormat="1" x14ac:dyDescent="0.25">
      <c r="B143" s="40"/>
      <c r="C143" s="40"/>
      <c r="D143" s="40"/>
      <c r="E143" s="40"/>
      <c r="F143" s="40"/>
      <c r="G143" s="40"/>
      <c r="H143" s="40"/>
      <c r="I143" s="40"/>
      <c r="J143" s="40"/>
      <c r="K143" s="40"/>
    </row>
    <row r="144" spans="2:11" s="33" customFormat="1" x14ac:dyDescent="0.25">
      <c r="B144" s="40"/>
      <c r="C144" s="40"/>
      <c r="D144" s="40"/>
      <c r="E144" s="40"/>
      <c r="F144" s="40"/>
      <c r="G144" s="40"/>
      <c r="H144" s="40"/>
      <c r="I144" s="40"/>
      <c r="J144" s="40"/>
      <c r="K144" s="40"/>
    </row>
    <row r="145" spans="2:11" s="33" customFormat="1" x14ac:dyDescent="0.25">
      <c r="B145" s="40"/>
      <c r="C145" s="40"/>
      <c r="D145" s="40"/>
      <c r="E145" s="40"/>
      <c r="F145" s="40"/>
      <c r="G145" s="40"/>
      <c r="H145" s="40"/>
      <c r="I145" s="40"/>
      <c r="J145" s="40"/>
      <c r="K145" s="40"/>
    </row>
    <row r="146" spans="2:11" s="33" customFormat="1" x14ac:dyDescent="0.25">
      <c r="B146" s="40"/>
      <c r="C146" s="40"/>
      <c r="D146" s="40"/>
      <c r="E146" s="40"/>
      <c r="F146" s="40"/>
      <c r="G146" s="40"/>
      <c r="H146" s="40"/>
      <c r="I146" s="40"/>
      <c r="J146" s="40"/>
      <c r="K146" s="40"/>
    </row>
    <row r="147" spans="2:11" s="33" customFormat="1" x14ac:dyDescent="0.25">
      <c r="B147" s="40"/>
      <c r="C147" s="40"/>
      <c r="D147" s="40"/>
      <c r="E147" s="40"/>
      <c r="F147" s="40"/>
      <c r="G147" s="40"/>
      <c r="H147" s="40"/>
      <c r="I147" s="40"/>
      <c r="J147" s="40"/>
      <c r="K147" s="40"/>
    </row>
    <row r="148" spans="2:11" s="33" customFormat="1" x14ac:dyDescent="0.25">
      <c r="B148" s="40"/>
      <c r="C148" s="40"/>
      <c r="D148" s="40"/>
      <c r="E148" s="40"/>
      <c r="F148" s="40"/>
      <c r="G148" s="40"/>
      <c r="H148" s="40"/>
      <c r="I148" s="40"/>
      <c r="J148" s="40"/>
      <c r="K148" s="40"/>
    </row>
    <row r="149" spans="2:11" s="33" customFormat="1" x14ac:dyDescent="0.25">
      <c r="B149" s="40"/>
      <c r="C149" s="40"/>
      <c r="D149" s="40"/>
      <c r="E149" s="40"/>
      <c r="F149" s="40"/>
      <c r="G149" s="40"/>
      <c r="H149" s="40"/>
      <c r="I149" s="40"/>
      <c r="J149" s="40"/>
      <c r="K149" s="40"/>
    </row>
    <row r="150" spans="2:11" s="33" customFormat="1" x14ac:dyDescent="0.25">
      <c r="B150" s="40"/>
      <c r="C150" s="40"/>
      <c r="D150" s="40"/>
      <c r="E150" s="40"/>
      <c r="F150" s="40"/>
      <c r="G150" s="40"/>
      <c r="H150" s="40"/>
      <c r="I150" s="40"/>
      <c r="J150" s="40"/>
      <c r="K150" s="40"/>
    </row>
    <row r="151" spans="2:11" s="33" customFormat="1" x14ac:dyDescent="0.25">
      <c r="B151" s="40"/>
      <c r="C151" s="40"/>
      <c r="D151" s="40"/>
      <c r="E151" s="40"/>
      <c r="F151" s="40"/>
      <c r="G151" s="40"/>
      <c r="H151" s="40"/>
      <c r="I151" s="40"/>
      <c r="J151" s="40"/>
      <c r="K151" s="40"/>
    </row>
    <row r="152" spans="2:11" s="33" customFormat="1" x14ac:dyDescent="0.25">
      <c r="B152" s="40"/>
      <c r="C152" s="40"/>
      <c r="D152" s="40"/>
      <c r="E152" s="40"/>
      <c r="F152" s="40"/>
      <c r="G152" s="40"/>
      <c r="H152" s="40"/>
      <c r="I152" s="40"/>
      <c r="J152" s="40"/>
      <c r="K152" s="40"/>
    </row>
    <row r="153" spans="2:11" s="33" customFormat="1" x14ac:dyDescent="0.25">
      <c r="B153" s="40"/>
      <c r="C153" s="40"/>
      <c r="D153" s="40"/>
      <c r="E153" s="40"/>
      <c r="F153" s="40"/>
      <c r="G153" s="40"/>
      <c r="H153" s="40"/>
      <c r="I153" s="40"/>
      <c r="J153" s="40"/>
      <c r="K153" s="40"/>
    </row>
    <row r="154" spans="2:11" s="33" customFormat="1" x14ac:dyDescent="0.25">
      <c r="B154" s="40"/>
      <c r="C154" s="40"/>
      <c r="D154" s="40"/>
      <c r="E154" s="40"/>
      <c r="F154" s="40"/>
      <c r="G154" s="40"/>
      <c r="H154" s="40"/>
      <c r="I154" s="40"/>
      <c r="J154" s="40"/>
      <c r="K154" s="40"/>
    </row>
    <row r="155" spans="2:11" s="33" customFormat="1" x14ac:dyDescent="0.25">
      <c r="B155" s="40"/>
      <c r="C155" s="40"/>
      <c r="D155" s="40"/>
      <c r="E155" s="40"/>
      <c r="F155" s="40"/>
      <c r="G155" s="40"/>
      <c r="H155" s="40"/>
      <c r="I155" s="40"/>
      <c r="J155" s="40"/>
      <c r="K155" s="40"/>
    </row>
    <row r="156" spans="2:11" s="33" customFormat="1" x14ac:dyDescent="0.25">
      <c r="B156" s="40"/>
      <c r="C156" s="40"/>
      <c r="D156" s="40"/>
      <c r="E156" s="40"/>
      <c r="F156" s="40"/>
      <c r="G156" s="40"/>
      <c r="H156" s="40"/>
      <c r="I156" s="40"/>
      <c r="J156" s="40"/>
      <c r="K156" s="40"/>
    </row>
    <row r="157" spans="2:11" s="33" customFormat="1" x14ac:dyDescent="0.25">
      <c r="B157" s="40"/>
      <c r="C157" s="40"/>
      <c r="D157" s="40"/>
      <c r="E157" s="40"/>
      <c r="F157" s="40"/>
      <c r="G157" s="40"/>
      <c r="H157" s="40"/>
      <c r="I157" s="40"/>
      <c r="J157" s="40"/>
      <c r="K157" s="40"/>
    </row>
    <row r="158" spans="2:11" s="33" customFormat="1" x14ac:dyDescent="0.25">
      <c r="B158" s="40"/>
      <c r="C158" s="40"/>
      <c r="D158" s="40"/>
      <c r="E158" s="40"/>
      <c r="F158" s="40"/>
      <c r="G158" s="40"/>
      <c r="H158" s="40"/>
      <c r="I158" s="40"/>
      <c r="J158" s="40"/>
      <c r="K158" s="40"/>
    </row>
    <row r="159" spans="2:11" s="33" customFormat="1" x14ac:dyDescent="0.25">
      <c r="B159" s="40"/>
      <c r="C159" s="40"/>
      <c r="D159" s="40"/>
      <c r="E159" s="40"/>
      <c r="F159" s="40"/>
      <c r="G159" s="40"/>
      <c r="H159" s="40"/>
      <c r="I159" s="40"/>
      <c r="J159" s="40"/>
      <c r="K159" s="40"/>
    </row>
    <row r="160" spans="2:11" s="33" customFormat="1" x14ac:dyDescent="0.25">
      <c r="B160" s="40"/>
      <c r="C160" s="40"/>
      <c r="D160" s="40"/>
      <c r="E160" s="40"/>
      <c r="F160" s="40"/>
      <c r="G160" s="40"/>
      <c r="H160" s="40"/>
      <c r="I160" s="40"/>
      <c r="J160" s="40"/>
      <c r="K160" s="40"/>
    </row>
    <row r="161" spans="2:11" s="33" customFormat="1" x14ac:dyDescent="0.25">
      <c r="B161" s="40"/>
      <c r="C161" s="40"/>
      <c r="D161" s="40"/>
      <c r="E161" s="40"/>
      <c r="F161" s="40"/>
      <c r="G161" s="40"/>
      <c r="H161" s="40"/>
      <c r="I161" s="40"/>
      <c r="J161" s="40"/>
      <c r="K161" s="40"/>
    </row>
    <row r="162" spans="2:11" s="33" customFormat="1" x14ac:dyDescent="0.25">
      <c r="B162" s="40"/>
      <c r="C162" s="40"/>
      <c r="D162" s="40"/>
      <c r="E162" s="40"/>
      <c r="F162" s="40"/>
      <c r="G162" s="40"/>
      <c r="H162" s="40"/>
      <c r="I162" s="40"/>
      <c r="J162" s="40"/>
      <c r="K162" s="40"/>
    </row>
    <row r="163" spans="2:11" s="33" customFormat="1" x14ac:dyDescent="0.25">
      <c r="B163" s="40"/>
      <c r="C163" s="40"/>
      <c r="D163" s="40"/>
      <c r="E163" s="40"/>
      <c r="F163" s="40"/>
      <c r="G163" s="40"/>
      <c r="H163" s="40"/>
      <c r="I163" s="40"/>
      <c r="J163" s="40"/>
      <c r="K163" s="40"/>
    </row>
    <row r="164" spans="2:11" s="33" customFormat="1" x14ac:dyDescent="0.25">
      <c r="B164" s="40"/>
      <c r="C164" s="40"/>
      <c r="D164" s="40"/>
      <c r="E164" s="40"/>
      <c r="F164" s="40"/>
      <c r="G164" s="40"/>
      <c r="H164" s="40"/>
      <c r="I164" s="40"/>
      <c r="J164" s="40"/>
      <c r="K164" s="40"/>
    </row>
    <row r="165" spans="2:11" s="33" customFormat="1" x14ac:dyDescent="0.25">
      <c r="B165" s="40"/>
      <c r="C165" s="40"/>
      <c r="D165" s="40"/>
      <c r="E165" s="40"/>
      <c r="F165" s="40"/>
      <c r="G165" s="40"/>
      <c r="H165" s="40"/>
      <c r="I165" s="40"/>
      <c r="J165" s="40"/>
      <c r="K165" s="40"/>
    </row>
    <row r="166" spans="2:11" s="33" customFormat="1" x14ac:dyDescent="0.25">
      <c r="B166" s="40"/>
      <c r="C166" s="40"/>
      <c r="D166" s="40"/>
      <c r="E166" s="40"/>
      <c r="F166" s="40"/>
      <c r="G166" s="40"/>
      <c r="H166" s="40"/>
      <c r="I166" s="40"/>
      <c r="J166" s="40"/>
      <c r="K166" s="40"/>
    </row>
    <row r="167" spans="2:11" s="33" customFormat="1" x14ac:dyDescent="0.25">
      <c r="B167" s="40"/>
      <c r="C167" s="40"/>
      <c r="D167" s="40"/>
      <c r="E167" s="40"/>
      <c r="F167" s="40"/>
      <c r="G167" s="40"/>
      <c r="H167" s="40"/>
      <c r="I167" s="40"/>
      <c r="J167" s="40"/>
      <c r="K167" s="40"/>
    </row>
    <row r="168" spans="2:11" s="33" customFormat="1" x14ac:dyDescent="0.25">
      <c r="B168" s="40"/>
      <c r="C168" s="40"/>
      <c r="D168" s="40"/>
      <c r="E168" s="40"/>
      <c r="F168" s="40"/>
      <c r="G168" s="40"/>
      <c r="H168" s="40"/>
      <c r="I168" s="40"/>
      <c r="J168" s="40"/>
      <c r="K168" s="40"/>
    </row>
    <row r="169" spans="2:11" s="33" customFormat="1" x14ac:dyDescent="0.25">
      <c r="B169" s="40"/>
      <c r="C169" s="40"/>
      <c r="D169" s="40"/>
      <c r="E169" s="40"/>
      <c r="F169" s="40"/>
      <c r="G169" s="40"/>
      <c r="H169" s="40"/>
      <c r="I169" s="40"/>
      <c r="J169" s="40"/>
      <c r="K169" s="40"/>
    </row>
    <row r="170" spans="2:11" s="33" customFormat="1" x14ac:dyDescent="0.25">
      <c r="B170" s="40"/>
      <c r="C170" s="40"/>
      <c r="D170" s="40"/>
      <c r="E170" s="40"/>
      <c r="F170" s="40"/>
      <c r="G170" s="40"/>
      <c r="H170" s="40"/>
      <c r="I170" s="40"/>
      <c r="J170" s="40"/>
      <c r="K170" s="40"/>
    </row>
    <row r="171" spans="2:11" s="33" customFormat="1" x14ac:dyDescent="0.25">
      <c r="B171" s="40"/>
      <c r="C171" s="40"/>
      <c r="D171" s="40"/>
      <c r="E171" s="40"/>
      <c r="F171" s="40"/>
      <c r="G171" s="40"/>
      <c r="H171" s="40"/>
      <c r="I171" s="40"/>
      <c r="J171" s="40"/>
      <c r="K171" s="40"/>
    </row>
    <row r="172" spans="2:11" s="33" customFormat="1" x14ac:dyDescent="0.25">
      <c r="B172" s="40"/>
      <c r="C172" s="40"/>
      <c r="D172" s="40"/>
      <c r="E172" s="40"/>
      <c r="F172" s="40"/>
      <c r="G172" s="40"/>
      <c r="H172" s="40"/>
      <c r="I172" s="40"/>
      <c r="J172" s="40"/>
      <c r="K172" s="40"/>
    </row>
    <row r="173" spans="2:11" s="33" customFormat="1" x14ac:dyDescent="0.25">
      <c r="B173" s="40"/>
      <c r="C173" s="40"/>
      <c r="D173" s="40"/>
      <c r="E173" s="40"/>
      <c r="F173" s="40"/>
      <c r="G173" s="40"/>
      <c r="H173" s="40"/>
      <c r="I173" s="40"/>
      <c r="J173" s="40"/>
      <c r="K173" s="40"/>
    </row>
    <row r="174" spans="2:11" s="33" customFormat="1" x14ac:dyDescent="0.25">
      <c r="B174" s="40"/>
      <c r="C174" s="40"/>
      <c r="D174" s="40"/>
      <c r="E174" s="40"/>
      <c r="F174" s="40"/>
      <c r="G174" s="40"/>
      <c r="H174" s="40"/>
      <c r="I174" s="40"/>
      <c r="J174" s="40"/>
      <c r="K174" s="40"/>
    </row>
    <row r="175" spans="2:11" s="33" customFormat="1" x14ac:dyDescent="0.25">
      <c r="B175" s="40"/>
      <c r="C175" s="40"/>
      <c r="D175" s="40"/>
      <c r="E175" s="40"/>
      <c r="F175" s="40"/>
      <c r="G175" s="40"/>
      <c r="H175" s="40"/>
      <c r="I175" s="40"/>
      <c r="J175" s="40"/>
      <c r="K175" s="40"/>
    </row>
    <row r="176" spans="2:11" s="33" customFormat="1" x14ac:dyDescent="0.25">
      <c r="B176" s="40"/>
      <c r="C176" s="40"/>
      <c r="D176" s="40"/>
      <c r="E176" s="40"/>
      <c r="F176" s="40"/>
      <c r="G176" s="40"/>
      <c r="H176" s="40"/>
      <c r="I176" s="40"/>
      <c r="J176" s="40"/>
      <c r="K176" s="40"/>
    </row>
    <row r="177" spans="2:11" s="33" customFormat="1" x14ac:dyDescent="0.25">
      <c r="B177" s="40"/>
      <c r="C177" s="40"/>
      <c r="D177" s="40"/>
      <c r="E177" s="40"/>
      <c r="F177" s="40"/>
      <c r="G177" s="40"/>
      <c r="H177" s="40"/>
      <c r="I177" s="40"/>
      <c r="J177" s="40"/>
      <c r="K177" s="40"/>
    </row>
    <row r="178" spans="2:11" s="33" customFormat="1" x14ac:dyDescent="0.25">
      <c r="B178" s="40"/>
      <c r="C178" s="40"/>
      <c r="D178" s="40"/>
      <c r="E178" s="40"/>
      <c r="F178" s="40"/>
      <c r="G178" s="40"/>
      <c r="H178" s="40"/>
      <c r="I178" s="40"/>
      <c r="J178" s="40"/>
      <c r="K178" s="40"/>
    </row>
    <row r="179" spans="2:11" s="33" customFormat="1" x14ac:dyDescent="0.25">
      <c r="B179" s="40"/>
      <c r="C179" s="40"/>
      <c r="D179" s="40"/>
      <c r="E179" s="40"/>
      <c r="F179" s="40"/>
      <c r="G179" s="40"/>
      <c r="H179" s="40"/>
      <c r="I179" s="40"/>
      <c r="J179" s="40"/>
      <c r="K179" s="40"/>
    </row>
    <row r="180" spans="2:11" s="33" customFormat="1" x14ac:dyDescent="0.25">
      <c r="B180" s="40"/>
      <c r="C180" s="40"/>
      <c r="D180" s="40"/>
      <c r="E180" s="40"/>
      <c r="F180" s="40"/>
      <c r="G180" s="40"/>
      <c r="H180" s="40"/>
      <c r="I180" s="40"/>
      <c r="J180" s="40"/>
      <c r="K180" s="40"/>
    </row>
    <row r="181" spans="2:11" s="33" customFormat="1" x14ac:dyDescent="0.25">
      <c r="B181" s="40"/>
      <c r="C181" s="40"/>
      <c r="D181" s="40"/>
      <c r="E181" s="40"/>
      <c r="F181" s="40"/>
      <c r="G181" s="40"/>
      <c r="H181" s="40"/>
      <c r="I181" s="40"/>
      <c r="J181" s="40"/>
      <c r="K181" s="40"/>
    </row>
    <row r="182" spans="2:11" s="33" customFormat="1" x14ac:dyDescent="0.25">
      <c r="B182" s="40"/>
      <c r="C182" s="40"/>
      <c r="D182" s="40"/>
      <c r="E182" s="40"/>
      <c r="F182" s="40"/>
      <c r="G182" s="40"/>
      <c r="H182" s="40"/>
      <c r="I182" s="40"/>
      <c r="J182" s="40"/>
      <c r="K182" s="40"/>
    </row>
    <row r="183" spans="2:11" s="33" customFormat="1" x14ac:dyDescent="0.25">
      <c r="B183" s="40"/>
      <c r="C183" s="40"/>
      <c r="D183" s="40"/>
      <c r="E183" s="40"/>
      <c r="F183" s="40"/>
      <c r="G183" s="40"/>
      <c r="H183" s="40"/>
      <c r="I183" s="40"/>
      <c r="J183" s="40"/>
      <c r="K183" s="40"/>
    </row>
    <row r="184" spans="2:11" s="33" customFormat="1" x14ac:dyDescent="0.25">
      <c r="B184" s="40"/>
      <c r="C184" s="40"/>
      <c r="D184" s="40"/>
      <c r="E184" s="40"/>
      <c r="F184" s="40"/>
      <c r="G184" s="40"/>
      <c r="H184" s="40"/>
      <c r="I184" s="40"/>
      <c r="J184" s="40"/>
      <c r="K184" s="40"/>
    </row>
    <row r="185" spans="2:11" s="33" customFormat="1" x14ac:dyDescent="0.25">
      <c r="B185" s="40"/>
      <c r="C185" s="40"/>
      <c r="D185" s="40"/>
      <c r="E185" s="40"/>
      <c r="F185" s="40"/>
      <c r="G185" s="40"/>
      <c r="H185" s="40"/>
      <c r="I185" s="40"/>
      <c r="J185" s="40"/>
      <c r="K185" s="40"/>
    </row>
    <row r="186" spans="2:11" s="33" customFormat="1" x14ac:dyDescent="0.25">
      <c r="B186" s="40"/>
      <c r="C186" s="40"/>
      <c r="D186" s="40"/>
      <c r="E186" s="40"/>
      <c r="F186" s="40"/>
      <c r="G186" s="40"/>
      <c r="H186" s="40"/>
      <c r="I186" s="40"/>
      <c r="J186" s="40"/>
      <c r="K186" s="40"/>
    </row>
    <row r="187" spans="2:11" s="33" customFormat="1" x14ac:dyDescent="0.25">
      <c r="B187" s="40"/>
      <c r="C187" s="40"/>
      <c r="D187" s="40"/>
      <c r="E187" s="40"/>
      <c r="F187" s="40"/>
      <c r="G187" s="40"/>
      <c r="H187" s="40"/>
      <c r="I187" s="40"/>
      <c r="J187" s="40"/>
      <c r="K187" s="40"/>
    </row>
    <row r="188" spans="2:11" s="33" customFormat="1" x14ac:dyDescent="0.25">
      <c r="B188" s="40"/>
      <c r="C188" s="40"/>
      <c r="D188" s="40"/>
      <c r="E188" s="40"/>
      <c r="F188" s="40"/>
      <c r="G188" s="40"/>
      <c r="H188" s="40"/>
      <c r="I188" s="40"/>
      <c r="J188" s="40"/>
      <c r="K188" s="40"/>
    </row>
    <row r="189" spans="2:11" s="33" customFormat="1" x14ac:dyDescent="0.25">
      <c r="B189" s="40"/>
      <c r="C189" s="40"/>
      <c r="D189" s="40"/>
      <c r="E189" s="40"/>
      <c r="F189" s="40"/>
      <c r="G189" s="40"/>
      <c r="H189" s="40"/>
      <c r="I189" s="40"/>
      <c r="J189" s="40"/>
      <c r="K189" s="40"/>
    </row>
    <row r="190" spans="2:11" s="33" customFormat="1" x14ac:dyDescent="0.25">
      <c r="B190" s="40"/>
      <c r="C190" s="40"/>
      <c r="D190" s="40"/>
      <c r="E190" s="40"/>
      <c r="F190" s="40"/>
      <c r="G190" s="40"/>
      <c r="H190" s="40"/>
      <c r="I190" s="40"/>
      <c r="J190" s="40"/>
      <c r="K190" s="40"/>
    </row>
    <row r="191" spans="2:11" s="33" customFormat="1" x14ac:dyDescent="0.25">
      <c r="B191" s="40"/>
      <c r="C191" s="40"/>
      <c r="D191" s="40"/>
      <c r="E191" s="40"/>
      <c r="F191" s="40"/>
      <c r="G191" s="40"/>
      <c r="H191" s="40"/>
      <c r="I191" s="40"/>
      <c r="J191" s="40"/>
      <c r="K191" s="40"/>
    </row>
    <row r="192" spans="2:11" s="33" customFormat="1" x14ac:dyDescent="0.25">
      <c r="B192" s="40"/>
      <c r="C192" s="40"/>
      <c r="D192" s="40"/>
      <c r="E192" s="40"/>
      <c r="F192" s="40"/>
      <c r="G192" s="40"/>
      <c r="H192" s="40"/>
      <c r="I192" s="40"/>
      <c r="J192" s="40"/>
      <c r="K192" s="40"/>
    </row>
    <row r="193" spans="2:11" s="33" customFormat="1" x14ac:dyDescent="0.25">
      <c r="B193" s="40"/>
      <c r="C193" s="40"/>
      <c r="D193" s="40"/>
      <c r="E193" s="40"/>
      <c r="F193" s="40"/>
      <c r="G193" s="40"/>
      <c r="H193" s="40"/>
      <c r="I193" s="40"/>
      <c r="J193" s="40"/>
      <c r="K193" s="40"/>
    </row>
    <row r="194" spans="2:11" s="33" customFormat="1" x14ac:dyDescent="0.25">
      <c r="B194" s="40"/>
      <c r="C194" s="40"/>
      <c r="D194" s="40"/>
      <c r="E194" s="40"/>
      <c r="F194" s="40"/>
      <c r="G194" s="40"/>
      <c r="H194" s="40"/>
      <c r="I194" s="40"/>
      <c r="J194" s="40"/>
      <c r="K194" s="40"/>
    </row>
    <row r="195" spans="2:11" s="33" customFormat="1" x14ac:dyDescent="0.25">
      <c r="B195" s="40"/>
      <c r="C195" s="40"/>
      <c r="D195" s="40"/>
      <c r="E195" s="40"/>
      <c r="F195" s="40"/>
      <c r="G195" s="40"/>
      <c r="H195" s="40"/>
      <c r="I195" s="40"/>
      <c r="J195" s="40"/>
      <c r="K195" s="40"/>
    </row>
    <row r="196" spans="2:11" s="33" customFormat="1" x14ac:dyDescent="0.25">
      <c r="B196" s="40"/>
      <c r="C196" s="40"/>
      <c r="D196" s="40"/>
      <c r="E196" s="40"/>
      <c r="F196" s="40"/>
      <c r="G196" s="40"/>
      <c r="H196" s="40"/>
      <c r="I196" s="40"/>
      <c r="J196" s="40"/>
      <c r="K196" s="40"/>
    </row>
    <row r="197" spans="2:11" s="33" customFormat="1" x14ac:dyDescent="0.25">
      <c r="B197" s="40"/>
      <c r="C197" s="40"/>
      <c r="D197" s="40"/>
      <c r="E197" s="40"/>
      <c r="F197" s="40"/>
      <c r="G197" s="40"/>
      <c r="H197" s="40"/>
      <c r="I197" s="40"/>
      <c r="J197" s="40"/>
      <c r="K197" s="40"/>
    </row>
    <row r="198" spans="2:11" s="33" customFormat="1" x14ac:dyDescent="0.25">
      <c r="B198" s="40"/>
      <c r="C198" s="40"/>
      <c r="D198" s="40"/>
      <c r="E198" s="40"/>
      <c r="F198" s="40"/>
      <c r="G198" s="40"/>
      <c r="H198" s="40"/>
      <c r="I198" s="40"/>
      <c r="J198" s="40"/>
      <c r="K198" s="40"/>
    </row>
    <row r="199" spans="2:11" s="33" customFormat="1" x14ac:dyDescent="0.25">
      <c r="B199" s="40"/>
      <c r="C199" s="40"/>
      <c r="D199" s="40"/>
      <c r="E199" s="40"/>
      <c r="F199" s="40"/>
      <c r="G199" s="40"/>
      <c r="H199" s="40"/>
      <c r="I199" s="40"/>
      <c r="J199" s="40"/>
      <c r="K199" s="40"/>
    </row>
    <row r="200" spans="2:11" s="33" customFormat="1" x14ac:dyDescent="0.25">
      <c r="B200" s="40"/>
      <c r="C200" s="40"/>
      <c r="D200" s="40"/>
      <c r="E200" s="40"/>
      <c r="F200" s="40"/>
      <c r="G200" s="40"/>
      <c r="H200" s="40"/>
      <c r="I200" s="40"/>
      <c r="J200" s="40"/>
      <c r="K200" s="40"/>
    </row>
    <row r="201" spans="2:11" s="33" customFormat="1" x14ac:dyDescent="0.25">
      <c r="B201" s="40"/>
      <c r="C201" s="40"/>
      <c r="D201" s="40"/>
      <c r="E201" s="40"/>
      <c r="F201" s="40"/>
      <c r="G201" s="40"/>
      <c r="H201" s="40"/>
      <c r="I201" s="40"/>
      <c r="J201" s="40"/>
      <c r="K201" s="40"/>
    </row>
    <row r="202" spans="2:11" s="33" customFormat="1" x14ac:dyDescent="0.25">
      <c r="B202" s="40"/>
      <c r="C202" s="40"/>
      <c r="D202" s="40"/>
      <c r="E202" s="40"/>
      <c r="F202" s="40"/>
      <c r="G202" s="40"/>
      <c r="H202" s="40"/>
      <c r="I202" s="40"/>
      <c r="J202" s="40"/>
      <c r="K202" s="40"/>
    </row>
    <row r="203" spans="2:11" s="33" customFormat="1" x14ac:dyDescent="0.25">
      <c r="B203" s="40"/>
      <c r="C203" s="40"/>
      <c r="D203" s="40"/>
      <c r="E203" s="40"/>
      <c r="F203" s="40"/>
      <c r="G203" s="40"/>
      <c r="H203" s="40"/>
      <c r="I203" s="40"/>
      <c r="J203" s="40"/>
      <c r="K203" s="40"/>
    </row>
    <row r="204" spans="2:11" s="33" customFormat="1" x14ac:dyDescent="0.25">
      <c r="B204" s="40"/>
      <c r="C204" s="40"/>
      <c r="D204" s="40"/>
      <c r="E204" s="40"/>
      <c r="F204" s="40"/>
      <c r="G204" s="40"/>
      <c r="H204" s="40"/>
      <c r="I204" s="40"/>
      <c r="J204" s="40"/>
      <c r="K204" s="40"/>
    </row>
    <row r="205" spans="2:11" s="33" customFormat="1" x14ac:dyDescent="0.25">
      <c r="B205" s="40"/>
      <c r="C205" s="40"/>
      <c r="D205" s="40"/>
      <c r="E205" s="40"/>
      <c r="F205" s="40"/>
      <c r="G205" s="40"/>
      <c r="H205" s="40"/>
      <c r="I205" s="40"/>
      <c r="J205" s="40"/>
      <c r="K205" s="40"/>
    </row>
    <row r="206" spans="2:11" s="33" customFormat="1" x14ac:dyDescent="0.25">
      <c r="B206" s="40"/>
      <c r="C206" s="40"/>
      <c r="D206" s="40"/>
      <c r="E206" s="40"/>
      <c r="F206" s="40"/>
      <c r="G206" s="40"/>
      <c r="H206" s="40"/>
      <c r="I206" s="40"/>
      <c r="J206" s="40"/>
      <c r="K206" s="40"/>
    </row>
    <row r="207" spans="2:11" s="33" customFormat="1" x14ac:dyDescent="0.25">
      <c r="B207" s="40"/>
      <c r="C207" s="40"/>
      <c r="D207" s="40"/>
      <c r="E207" s="40"/>
      <c r="F207" s="40"/>
      <c r="G207" s="40"/>
      <c r="H207" s="40"/>
      <c r="I207" s="40"/>
      <c r="J207" s="40"/>
      <c r="K207" s="40"/>
    </row>
    <row r="208" spans="2:11" s="33" customFormat="1" x14ac:dyDescent="0.25">
      <c r="B208" s="40"/>
      <c r="C208" s="40"/>
      <c r="D208" s="40"/>
      <c r="E208" s="40"/>
      <c r="F208" s="40"/>
      <c r="G208" s="40"/>
      <c r="H208" s="40"/>
      <c r="I208" s="40"/>
      <c r="J208" s="40"/>
      <c r="K208" s="40"/>
    </row>
    <row r="209" spans="2:11" s="33" customFormat="1" x14ac:dyDescent="0.25">
      <c r="B209" s="40"/>
      <c r="C209" s="40"/>
      <c r="D209" s="40"/>
      <c r="E209" s="40"/>
      <c r="F209" s="40"/>
      <c r="G209" s="40"/>
      <c r="H209" s="40"/>
      <c r="I209" s="40"/>
      <c r="J209" s="40"/>
      <c r="K209" s="40"/>
    </row>
    <row r="210" spans="2:11" s="33" customFormat="1" x14ac:dyDescent="0.25">
      <c r="B210" s="40"/>
      <c r="C210" s="40"/>
      <c r="D210" s="40"/>
      <c r="E210" s="40"/>
      <c r="F210" s="40"/>
      <c r="G210" s="40"/>
      <c r="H210" s="40"/>
      <c r="I210" s="40"/>
      <c r="J210" s="40"/>
      <c r="K210" s="40"/>
    </row>
    <row r="211" spans="2:11" s="33" customFormat="1" x14ac:dyDescent="0.25">
      <c r="B211" s="40"/>
      <c r="C211" s="40"/>
      <c r="D211" s="40"/>
      <c r="E211" s="40"/>
      <c r="F211" s="40"/>
      <c r="G211" s="40"/>
      <c r="H211" s="40"/>
      <c r="I211" s="40"/>
      <c r="J211" s="40"/>
      <c r="K211" s="40"/>
    </row>
    <row r="212" spans="2:11" s="33" customFormat="1" x14ac:dyDescent="0.25">
      <c r="B212" s="40"/>
      <c r="C212" s="40"/>
      <c r="D212" s="40"/>
      <c r="E212" s="40"/>
      <c r="F212" s="40"/>
      <c r="G212" s="40"/>
      <c r="H212" s="40"/>
      <c r="I212" s="40"/>
      <c r="J212" s="40"/>
      <c r="K212" s="40"/>
    </row>
    <row r="213" spans="2:11" s="33" customFormat="1" x14ac:dyDescent="0.25">
      <c r="B213" s="40"/>
      <c r="C213" s="40"/>
      <c r="D213" s="40"/>
      <c r="E213" s="40"/>
      <c r="F213" s="40"/>
      <c r="G213" s="40"/>
      <c r="H213" s="40"/>
      <c r="I213" s="40"/>
      <c r="J213" s="40"/>
      <c r="K213" s="40"/>
    </row>
    <row r="214" spans="2:11" s="33" customFormat="1" x14ac:dyDescent="0.25">
      <c r="B214" s="40"/>
      <c r="C214" s="40"/>
      <c r="D214" s="40"/>
      <c r="E214" s="40"/>
      <c r="F214" s="40"/>
      <c r="G214" s="40"/>
      <c r="H214" s="40"/>
      <c r="I214" s="40"/>
      <c r="J214" s="40"/>
      <c r="K214" s="40"/>
    </row>
    <row r="215" spans="2:11" s="33" customFormat="1" x14ac:dyDescent="0.25">
      <c r="B215" s="40"/>
      <c r="C215" s="40"/>
      <c r="D215" s="40"/>
      <c r="E215" s="40"/>
      <c r="F215" s="40"/>
      <c r="G215" s="40"/>
      <c r="H215" s="40"/>
      <c r="I215" s="40"/>
      <c r="J215" s="40"/>
      <c r="K215" s="40"/>
    </row>
    <row r="216" spans="2:11" s="33" customFormat="1" x14ac:dyDescent="0.25">
      <c r="B216" s="40"/>
      <c r="C216" s="40"/>
      <c r="D216" s="40"/>
      <c r="E216" s="40"/>
      <c r="F216" s="40"/>
      <c r="G216" s="40"/>
      <c r="H216" s="40"/>
      <c r="I216" s="40"/>
      <c r="J216" s="40"/>
      <c r="K216" s="40"/>
    </row>
    <row r="217" spans="2:11" s="33" customFormat="1" x14ac:dyDescent="0.25">
      <c r="B217" s="40"/>
      <c r="C217" s="40"/>
      <c r="D217" s="40"/>
      <c r="E217" s="40"/>
      <c r="F217" s="40"/>
      <c r="G217" s="40"/>
      <c r="H217" s="40"/>
      <c r="I217" s="40"/>
      <c r="J217" s="40"/>
      <c r="K217" s="40"/>
    </row>
    <row r="218" spans="2:11" s="33" customFormat="1" x14ac:dyDescent="0.25">
      <c r="B218" s="40"/>
      <c r="C218" s="40"/>
      <c r="D218" s="40"/>
      <c r="E218" s="40"/>
      <c r="F218" s="40"/>
      <c r="G218" s="40"/>
      <c r="H218" s="40"/>
      <c r="I218" s="40"/>
      <c r="J218" s="40"/>
      <c r="K218" s="40"/>
    </row>
    <row r="219" spans="2:11" s="33" customFormat="1" x14ac:dyDescent="0.25">
      <c r="B219" s="40"/>
      <c r="C219" s="40"/>
      <c r="D219" s="40"/>
      <c r="E219" s="40"/>
      <c r="F219" s="40"/>
      <c r="G219" s="40"/>
      <c r="H219" s="40"/>
      <c r="I219" s="40"/>
      <c r="J219" s="40"/>
      <c r="K219" s="40"/>
    </row>
    <row r="220" spans="2:11" s="33" customFormat="1" x14ac:dyDescent="0.25">
      <c r="B220" s="40"/>
      <c r="C220" s="40"/>
      <c r="D220" s="40"/>
      <c r="E220" s="40"/>
      <c r="F220" s="40"/>
      <c r="G220" s="40"/>
      <c r="H220" s="40"/>
      <c r="I220" s="40"/>
      <c r="J220" s="40"/>
      <c r="K220" s="40"/>
    </row>
    <row r="221" spans="2:11" s="33" customFormat="1" x14ac:dyDescent="0.25">
      <c r="B221" s="40"/>
      <c r="C221" s="40"/>
      <c r="D221" s="40"/>
      <c r="E221" s="40"/>
      <c r="F221" s="40"/>
      <c r="G221" s="40"/>
      <c r="H221" s="40"/>
      <c r="I221" s="40"/>
      <c r="J221" s="40"/>
      <c r="K221" s="40"/>
    </row>
    <row r="222" spans="2:11" s="33" customFormat="1" x14ac:dyDescent="0.25">
      <c r="B222" s="40"/>
      <c r="C222" s="40"/>
      <c r="D222" s="40"/>
      <c r="E222" s="40"/>
      <c r="F222" s="40"/>
      <c r="G222" s="40"/>
      <c r="H222" s="40"/>
      <c r="I222" s="40"/>
      <c r="J222" s="40"/>
      <c r="K222" s="40"/>
    </row>
    <row r="223" spans="2:11" s="33" customFormat="1" x14ac:dyDescent="0.25">
      <c r="B223" s="40"/>
      <c r="C223" s="40"/>
      <c r="D223" s="40"/>
      <c r="E223" s="40"/>
      <c r="F223" s="40"/>
      <c r="G223" s="40"/>
      <c r="H223" s="40"/>
      <c r="I223" s="40"/>
      <c r="J223" s="40"/>
      <c r="K223" s="40"/>
    </row>
    <row r="224" spans="2:11" s="33" customFormat="1" x14ac:dyDescent="0.25">
      <c r="B224" s="40"/>
      <c r="C224" s="40"/>
      <c r="D224" s="40"/>
      <c r="E224" s="40"/>
      <c r="F224" s="40"/>
      <c r="G224" s="40"/>
      <c r="H224" s="40"/>
      <c r="I224" s="40"/>
      <c r="J224" s="40"/>
      <c r="K224" s="40"/>
    </row>
    <row r="225" spans="2:11" s="33" customFormat="1" x14ac:dyDescent="0.25">
      <c r="B225" s="40"/>
      <c r="C225" s="40"/>
      <c r="D225" s="40"/>
      <c r="E225" s="40"/>
      <c r="F225" s="40"/>
      <c r="G225" s="40"/>
      <c r="H225" s="40"/>
      <c r="I225" s="40"/>
      <c r="J225" s="40"/>
      <c r="K225" s="40"/>
    </row>
    <row r="226" spans="2:11" s="33" customFormat="1" x14ac:dyDescent="0.25">
      <c r="B226" s="40"/>
      <c r="C226" s="40"/>
      <c r="D226" s="40"/>
      <c r="E226" s="40"/>
      <c r="F226" s="40"/>
      <c r="G226" s="40"/>
      <c r="H226" s="40"/>
      <c r="I226" s="40"/>
      <c r="J226" s="40"/>
      <c r="K226" s="40"/>
    </row>
    <row r="227" spans="2:11" s="33" customFormat="1" x14ac:dyDescent="0.25">
      <c r="B227" s="40"/>
      <c r="C227" s="40"/>
      <c r="D227" s="40"/>
      <c r="E227" s="40"/>
      <c r="F227" s="40"/>
      <c r="G227" s="40"/>
      <c r="H227" s="40"/>
      <c r="I227" s="40"/>
      <c r="J227" s="40"/>
      <c r="K227" s="40"/>
    </row>
    <row r="228" spans="2:11" s="33" customFormat="1" x14ac:dyDescent="0.25">
      <c r="B228" s="40"/>
      <c r="C228" s="40"/>
      <c r="D228" s="40"/>
      <c r="E228" s="40"/>
      <c r="F228" s="40"/>
      <c r="G228" s="40"/>
      <c r="H228" s="40"/>
      <c r="I228" s="40"/>
      <c r="J228" s="40"/>
      <c r="K228" s="40"/>
    </row>
    <row r="229" spans="2:11" s="33" customFormat="1" x14ac:dyDescent="0.25">
      <c r="B229" s="40"/>
      <c r="C229" s="40"/>
      <c r="D229" s="40"/>
      <c r="E229" s="40"/>
      <c r="F229" s="40"/>
      <c r="G229" s="40"/>
      <c r="H229" s="40"/>
      <c r="I229" s="40"/>
      <c r="J229" s="40"/>
      <c r="K229" s="40"/>
    </row>
    <row r="230" spans="2:11" s="33" customFormat="1" x14ac:dyDescent="0.25">
      <c r="B230" s="40"/>
      <c r="C230" s="40"/>
      <c r="D230" s="40"/>
      <c r="E230" s="40"/>
      <c r="F230" s="40"/>
      <c r="G230" s="40"/>
      <c r="H230" s="40"/>
      <c r="I230" s="40"/>
      <c r="J230" s="40"/>
      <c r="K230" s="40"/>
    </row>
    <row r="231" spans="2:11" s="33" customFormat="1" x14ac:dyDescent="0.25">
      <c r="B231" s="40"/>
      <c r="C231" s="40"/>
      <c r="D231" s="40"/>
      <c r="E231" s="40"/>
      <c r="F231" s="40"/>
      <c r="G231" s="40"/>
      <c r="H231" s="40"/>
      <c r="I231" s="40"/>
      <c r="J231" s="40"/>
      <c r="K231" s="40"/>
    </row>
    <row r="232" spans="2:11" s="33" customFormat="1" x14ac:dyDescent="0.25">
      <c r="B232" s="40"/>
      <c r="C232" s="40"/>
      <c r="D232" s="40"/>
      <c r="E232" s="40"/>
      <c r="F232" s="40"/>
      <c r="G232" s="40"/>
      <c r="H232" s="40"/>
      <c r="I232" s="40"/>
      <c r="J232" s="40"/>
      <c r="K232" s="40"/>
    </row>
    <row r="233" spans="2:11" s="33" customFormat="1" x14ac:dyDescent="0.25">
      <c r="B233" s="40"/>
      <c r="C233" s="40"/>
      <c r="D233" s="40"/>
      <c r="E233" s="40"/>
      <c r="F233" s="40"/>
      <c r="G233" s="40"/>
      <c r="H233" s="40"/>
      <c r="I233" s="40"/>
      <c r="J233" s="40"/>
      <c r="K233" s="40"/>
    </row>
    <row r="234" spans="2:11" s="33" customFormat="1" x14ac:dyDescent="0.25">
      <c r="B234" s="40"/>
      <c r="C234" s="40"/>
      <c r="D234" s="40"/>
      <c r="E234" s="40"/>
      <c r="F234" s="40"/>
      <c r="G234" s="40"/>
      <c r="H234" s="40"/>
      <c r="I234" s="40"/>
      <c r="J234" s="40"/>
      <c r="K234" s="40"/>
    </row>
    <row r="235" spans="2:11" s="33" customFormat="1" x14ac:dyDescent="0.25">
      <c r="B235" s="40"/>
      <c r="C235" s="40"/>
      <c r="D235" s="40"/>
      <c r="E235" s="40"/>
      <c r="F235" s="40"/>
      <c r="G235" s="40"/>
      <c r="H235" s="40"/>
      <c r="I235" s="40"/>
      <c r="J235" s="40"/>
      <c r="K235" s="40"/>
    </row>
    <row r="236" spans="2:11" s="33" customFormat="1" x14ac:dyDescent="0.25">
      <c r="B236" s="40"/>
      <c r="C236" s="40"/>
      <c r="D236" s="40"/>
      <c r="E236" s="40"/>
      <c r="F236" s="40"/>
      <c r="G236" s="40"/>
      <c r="H236" s="40"/>
      <c r="I236" s="40"/>
      <c r="J236" s="40"/>
      <c r="K236" s="40"/>
    </row>
    <row r="237" spans="2:11" s="33" customFormat="1" x14ac:dyDescent="0.25">
      <c r="B237" s="40"/>
      <c r="C237" s="40"/>
      <c r="D237" s="40"/>
      <c r="E237" s="40"/>
      <c r="F237" s="40"/>
      <c r="G237" s="40"/>
      <c r="H237" s="40"/>
      <c r="I237" s="40"/>
      <c r="J237" s="40"/>
      <c r="K237" s="40"/>
    </row>
    <row r="238" spans="2:11" s="33" customFormat="1" x14ac:dyDescent="0.25">
      <c r="B238" s="40"/>
      <c r="C238" s="40"/>
      <c r="D238" s="40"/>
      <c r="E238" s="40"/>
      <c r="F238" s="40"/>
      <c r="G238" s="40"/>
      <c r="H238" s="40"/>
      <c r="I238" s="40"/>
      <c r="J238" s="40"/>
      <c r="K238" s="40"/>
    </row>
    <row r="239" spans="2:11" s="33" customFormat="1" x14ac:dyDescent="0.25">
      <c r="B239" s="40"/>
      <c r="C239" s="40"/>
      <c r="D239" s="40"/>
      <c r="E239" s="40"/>
      <c r="F239" s="40"/>
      <c r="G239" s="40"/>
      <c r="H239" s="40"/>
      <c r="I239" s="40"/>
      <c r="J239" s="40"/>
      <c r="K239" s="40"/>
    </row>
    <row r="240" spans="2:11" s="33" customFormat="1" x14ac:dyDescent="0.25">
      <c r="B240" s="40"/>
      <c r="C240" s="40"/>
      <c r="D240" s="40"/>
      <c r="E240" s="40"/>
      <c r="F240" s="40"/>
      <c r="G240" s="40"/>
      <c r="H240" s="40"/>
      <c r="I240" s="40"/>
      <c r="J240" s="40"/>
      <c r="K240" s="40"/>
    </row>
    <row r="241" spans="2:11" s="33" customFormat="1" x14ac:dyDescent="0.25">
      <c r="B241" s="40"/>
      <c r="C241" s="40"/>
      <c r="D241" s="40"/>
      <c r="E241" s="40"/>
      <c r="F241" s="40"/>
      <c r="G241" s="40"/>
      <c r="H241" s="40"/>
      <c r="I241" s="40"/>
      <c r="J241" s="40"/>
      <c r="K241" s="40"/>
    </row>
    <row r="242" spans="2:11" s="33" customFormat="1" x14ac:dyDescent="0.25">
      <c r="B242" s="40"/>
      <c r="C242" s="40"/>
      <c r="D242" s="40"/>
      <c r="E242" s="40"/>
      <c r="F242" s="40"/>
      <c r="G242" s="40"/>
      <c r="H242" s="40"/>
      <c r="I242" s="40"/>
      <c r="J242" s="40"/>
      <c r="K242" s="40"/>
    </row>
    <row r="243" spans="2:11" s="33" customFormat="1" x14ac:dyDescent="0.25">
      <c r="B243" s="40"/>
      <c r="C243" s="40"/>
      <c r="D243" s="40"/>
      <c r="E243" s="40"/>
      <c r="F243" s="40"/>
      <c r="G243" s="40"/>
      <c r="H243" s="40"/>
      <c r="I243" s="40"/>
      <c r="J243" s="40"/>
      <c r="K243" s="40"/>
    </row>
    <row r="244" spans="2:11" s="33" customFormat="1" x14ac:dyDescent="0.25">
      <c r="B244" s="40"/>
      <c r="C244" s="40"/>
      <c r="D244" s="40"/>
      <c r="E244" s="40"/>
      <c r="F244" s="40"/>
      <c r="G244" s="40"/>
      <c r="H244" s="40"/>
      <c r="I244" s="40"/>
      <c r="J244" s="40"/>
      <c r="K244" s="40"/>
    </row>
    <row r="245" spans="2:11" s="33" customFormat="1" x14ac:dyDescent="0.25">
      <c r="B245" s="40"/>
      <c r="C245" s="40"/>
      <c r="D245" s="40"/>
      <c r="E245" s="40"/>
      <c r="F245" s="40"/>
      <c r="G245" s="40"/>
      <c r="H245" s="40"/>
      <c r="I245" s="40"/>
      <c r="J245" s="40"/>
      <c r="K245" s="40"/>
    </row>
    <row r="246" spans="2:11" s="33" customFormat="1" x14ac:dyDescent="0.25">
      <c r="B246" s="40"/>
      <c r="C246" s="40"/>
      <c r="D246" s="40"/>
      <c r="E246" s="40"/>
      <c r="F246" s="40"/>
      <c r="G246" s="40"/>
      <c r="H246" s="40"/>
      <c r="I246" s="40"/>
      <c r="J246" s="40"/>
      <c r="K246" s="40"/>
    </row>
    <row r="247" spans="2:11" s="33" customFormat="1" x14ac:dyDescent="0.25">
      <c r="B247" s="40"/>
      <c r="C247" s="40"/>
      <c r="D247" s="40"/>
      <c r="E247" s="40"/>
      <c r="F247" s="40"/>
      <c r="G247" s="40"/>
      <c r="H247" s="40"/>
      <c r="I247" s="40"/>
      <c r="J247" s="40"/>
      <c r="K247" s="40"/>
    </row>
    <row r="248" spans="2:11" s="33" customFormat="1" x14ac:dyDescent="0.25">
      <c r="B248" s="40"/>
      <c r="C248" s="40"/>
      <c r="D248" s="40"/>
      <c r="E248" s="40"/>
      <c r="F248" s="40"/>
      <c r="G248" s="40"/>
      <c r="H248" s="40"/>
      <c r="I248" s="40"/>
      <c r="J248" s="40"/>
      <c r="K248" s="40"/>
    </row>
    <row r="249" spans="2:11" s="33" customFormat="1" x14ac:dyDescent="0.25">
      <c r="B249" s="40"/>
      <c r="C249" s="40"/>
      <c r="D249" s="40"/>
      <c r="E249" s="40"/>
      <c r="F249" s="40"/>
      <c r="G249" s="40"/>
      <c r="H249" s="40"/>
      <c r="I249" s="40"/>
      <c r="J249" s="40"/>
      <c r="K249" s="40"/>
    </row>
    <row r="250" spans="2:11" s="33" customFormat="1" x14ac:dyDescent="0.25">
      <c r="B250" s="40"/>
      <c r="C250" s="40"/>
      <c r="D250" s="40"/>
      <c r="E250" s="40"/>
      <c r="F250" s="40"/>
      <c r="G250" s="40"/>
      <c r="H250" s="40"/>
      <c r="I250" s="40"/>
      <c r="J250" s="40"/>
      <c r="K250" s="40"/>
    </row>
    <row r="251" spans="2:11" s="33" customFormat="1" x14ac:dyDescent="0.25">
      <c r="B251" s="40"/>
      <c r="C251" s="40"/>
      <c r="D251" s="40"/>
      <c r="E251" s="40"/>
      <c r="F251" s="40"/>
      <c r="G251" s="40"/>
      <c r="H251" s="40"/>
      <c r="I251" s="40"/>
      <c r="J251" s="40"/>
      <c r="K251" s="40"/>
    </row>
    <row r="252" spans="2:11" s="33" customFormat="1" x14ac:dyDescent="0.25">
      <c r="B252" s="40"/>
      <c r="C252" s="40"/>
      <c r="D252" s="40"/>
      <c r="E252" s="40"/>
      <c r="F252" s="40"/>
      <c r="G252" s="40"/>
      <c r="H252" s="40"/>
      <c r="I252" s="40"/>
      <c r="J252" s="40"/>
      <c r="K252" s="40"/>
    </row>
    <row r="253" spans="2:11" s="33" customFormat="1" x14ac:dyDescent="0.25">
      <c r="B253" s="40"/>
      <c r="C253" s="40"/>
      <c r="D253" s="40"/>
      <c r="E253" s="40"/>
      <c r="F253" s="40"/>
      <c r="G253" s="40"/>
      <c r="H253" s="40"/>
      <c r="I253" s="40"/>
      <c r="J253" s="40"/>
      <c r="K253" s="40"/>
    </row>
    <row r="254" spans="2:11" s="33" customFormat="1" x14ac:dyDescent="0.25">
      <c r="B254" s="40"/>
      <c r="C254" s="40"/>
      <c r="D254" s="40"/>
      <c r="E254" s="40"/>
      <c r="F254" s="40"/>
      <c r="G254" s="40"/>
      <c r="H254" s="40"/>
      <c r="I254" s="40"/>
      <c r="J254" s="40"/>
      <c r="K254" s="40"/>
    </row>
    <row r="255" spans="2:11" s="33" customFormat="1" x14ac:dyDescent="0.25">
      <c r="B255" s="40"/>
      <c r="C255" s="40"/>
      <c r="D255" s="40"/>
      <c r="E255" s="40"/>
      <c r="F255" s="40"/>
      <c r="G255" s="40"/>
      <c r="H255" s="40"/>
      <c r="I255" s="40"/>
      <c r="J255" s="40"/>
      <c r="K255" s="40"/>
    </row>
    <row r="256" spans="2:11" s="33" customFormat="1" x14ac:dyDescent="0.25">
      <c r="B256" s="40"/>
      <c r="C256" s="40"/>
      <c r="D256" s="40"/>
      <c r="E256" s="40"/>
      <c r="F256" s="40"/>
      <c r="G256" s="40"/>
      <c r="H256" s="40"/>
      <c r="I256" s="40"/>
      <c r="J256" s="40"/>
      <c r="K256" s="40"/>
    </row>
    <row r="257" spans="2:11" s="33" customFormat="1" x14ac:dyDescent="0.25">
      <c r="B257" s="40"/>
      <c r="C257" s="40"/>
      <c r="D257" s="40"/>
      <c r="E257" s="40"/>
      <c r="F257" s="40"/>
      <c r="G257" s="40"/>
      <c r="H257" s="40"/>
      <c r="I257" s="40"/>
      <c r="J257" s="40"/>
      <c r="K257" s="40"/>
    </row>
    <row r="258" spans="2:11" s="33" customFormat="1" x14ac:dyDescent="0.25">
      <c r="B258" s="40"/>
      <c r="C258" s="40"/>
      <c r="D258" s="40"/>
      <c r="E258" s="40"/>
      <c r="F258" s="40"/>
      <c r="G258" s="40"/>
      <c r="H258" s="40"/>
      <c r="I258" s="40"/>
      <c r="J258" s="40"/>
      <c r="K258" s="40"/>
    </row>
    <row r="259" spans="2:11" s="33" customFormat="1" x14ac:dyDescent="0.25">
      <c r="B259" s="40"/>
      <c r="C259" s="40"/>
      <c r="D259" s="40"/>
      <c r="E259" s="40"/>
      <c r="F259" s="40"/>
      <c r="G259" s="40"/>
      <c r="H259" s="40"/>
      <c r="I259" s="40"/>
      <c r="J259" s="40"/>
      <c r="K259" s="40"/>
    </row>
    <row r="260" spans="2:11" s="33" customFormat="1" x14ac:dyDescent="0.25">
      <c r="B260" s="40"/>
      <c r="C260" s="40"/>
      <c r="D260" s="40"/>
      <c r="E260" s="40"/>
      <c r="F260" s="40"/>
      <c r="G260" s="40"/>
      <c r="H260" s="40"/>
      <c r="I260" s="40"/>
      <c r="J260" s="40"/>
      <c r="K260" s="40"/>
    </row>
    <row r="261" spans="2:11" s="33" customFormat="1" x14ac:dyDescent="0.25">
      <c r="B261" s="40"/>
      <c r="C261" s="40"/>
      <c r="D261" s="40"/>
      <c r="E261" s="40"/>
      <c r="F261" s="40"/>
      <c r="G261" s="40"/>
      <c r="H261" s="40"/>
      <c r="I261" s="40"/>
      <c r="J261" s="40"/>
      <c r="K261" s="40"/>
    </row>
    <row r="262" spans="2:11" s="33" customFormat="1" x14ac:dyDescent="0.25">
      <c r="B262" s="40"/>
      <c r="C262" s="40"/>
      <c r="D262" s="40"/>
      <c r="E262" s="40"/>
      <c r="F262" s="40"/>
      <c r="G262" s="40"/>
      <c r="H262" s="40"/>
      <c r="I262" s="40"/>
      <c r="J262" s="40"/>
      <c r="K262" s="40"/>
    </row>
    <row r="263" spans="2:11" s="33" customFormat="1" x14ac:dyDescent="0.25">
      <c r="B263" s="40"/>
      <c r="C263" s="40"/>
      <c r="D263" s="40"/>
      <c r="E263" s="40"/>
      <c r="F263" s="40"/>
      <c r="G263" s="40"/>
      <c r="H263" s="40"/>
      <c r="I263" s="40"/>
      <c r="J263" s="40"/>
      <c r="K263" s="40"/>
    </row>
    <row r="264" spans="2:11" s="33" customFormat="1" x14ac:dyDescent="0.25">
      <c r="B264" s="40"/>
      <c r="C264" s="40"/>
      <c r="D264" s="40"/>
      <c r="E264" s="40"/>
      <c r="F264" s="40"/>
      <c r="G264" s="40"/>
      <c r="H264" s="40"/>
      <c r="I264" s="40"/>
      <c r="J264" s="40"/>
      <c r="K264" s="40"/>
    </row>
    <row r="265" spans="2:11" s="33" customFormat="1" x14ac:dyDescent="0.25">
      <c r="B265" s="40"/>
      <c r="C265" s="40"/>
      <c r="D265" s="40"/>
      <c r="E265" s="40"/>
      <c r="F265" s="40"/>
      <c r="G265" s="40"/>
      <c r="H265" s="40"/>
      <c r="I265" s="40"/>
      <c r="J265" s="40"/>
      <c r="K265" s="40"/>
    </row>
    <row r="266" spans="2:11" s="33" customFormat="1" x14ac:dyDescent="0.25">
      <c r="B266" s="40"/>
      <c r="C266" s="40"/>
      <c r="D266" s="40"/>
      <c r="E266" s="40"/>
      <c r="F266" s="40"/>
      <c r="G266" s="40"/>
      <c r="H266" s="40"/>
      <c r="I266" s="40"/>
      <c r="J266" s="40"/>
      <c r="K266" s="40"/>
    </row>
    <row r="267" spans="2:11" s="33" customFormat="1" x14ac:dyDescent="0.25">
      <c r="B267" s="40"/>
      <c r="C267" s="40"/>
      <c r="D267" s="40"/>
      <c r="E267" s="40"/>
      <c r="F267" s="40"/>
      <c r="G267" s="40"/>
      <c r="H267" s="40"/>
      <c r="I267" s="40"/>
      <c r="J267" s="40"/>
      <c r="K267" s="40"/>
    </row>
    <row r="268" spans="2:11" s="33" customFormat="1" x14ac:dyDescent="0.25">
      <c r="B268" s="40"/>
      <c r="C268" s="40"/>
      <c r="D268" s="40"/>
      <c r="E268" s="40"/>
      <c r="F268" s="40"/>
      <c r="G268" s="40"/>
      <c r="H268" s="40"/>
      <c r="I268" s="40"/>
      <c r="J268" s="40"/>
      <c r="K268" s="40"/>
    </row>
    <row r="269" spans="2:11" s="33" customFormat="1" x14ac:dyDescent="0.25">
      <c r="B269" s="40"/>
      <c r="C269" s="40"/>
      <c r="D269" s="40"/>
      <c r="E269" s="40"/>
      <c r="F269" s="40"/>
      <c r="G269" s="40"/>
      <c r="H269" s="40"/>
      <c r="I269" s="40"/>
      <c r="J269" s="40"/>
      <c r="K269" s="40"/>
    </row>
    <row r="270" spans="2:11" s="33" customFormat="1" x14ac:dyDescent="0.25">
      <c r="B270" s="40"/>
      <c r="C270" s="40"/>
      <c r="D270" s="40"/>
      <c r="E270" s="40"/>
      <c r="F270" s="40"/>
      <c r="G270" s="40"/>
      <c r="H270" s="40"/>
      <c r="I270" s="40"/>
      <c r="J270" s="40"/>
      <c r="K270" s="40"/>
    </row>
    <row r="271" spans="2:11" s="33" customFormat="1" x14ac:dyDescent="0.25">
      <c r="B271" s="40"/>
      <c r="C271" s="40"/>
      <c r="D271" s="40"/>
      <c r="E271" s="40"/>
      <c r="F271" s="40"/>
      <c r="G271" s="40"/>
      <c r="H271" s="40"/>
      <c r="I271" s="40"/>
      <c r="J271" s="40"/>
      <c r="K271" s="40"/>
    </row>
    <row r="272" spans="2:11" s="33" customFormat="1" x14ac:dyDescent="0.25">
      <c r="B272" s="40"/>
      <c r="C272" s="40"/>
      <c r="D272" s="40"/>
      <c r="E272" s="40"/>
      <c r="F272" s="40"/>
      <c r="G272" s="40"/>
      <c r="H272" s="40"/>
      <c r="I272" s="40"/>
      <c r="J272" s="40"/>
      <c r="K272" s="40"/>
    </row>
    <row r="273" spans="2:11" s="33" customFormat="1" x14ac:dyDescent="0.25">
      <c r="B273" s="40"/>
      <c r="C273" s="40"/>
      <c r="D273" s="40"/>
      <c r="E273" s="40"/>
      <c r="F273" s="40"/>
      <c r="G273" s="40"/>
      <c r="H273" s="40"/>
      <c r="I273" s="40"/>
      <c r="J273" s="40"/>
      <c r="K273" s="40"/>
    </row>
    <row r="274" spans="2:11" s="33" customFormat="1" x14ac:dyDescent="0.25">
      <c r="B274" s="40"/>
      <c r="C274" s="40"/>
      <c r="D274" s="40"/>
      <c r="E274" s="40"/>
      <c r="F274" s="40"/>
      <c r="G274" s="40"/>
      <c r="H274" s="40"/>
      <c r="I274" s="40"/>
      <c r="J274" s="40"/>
      <c r="K274" s="40"/>
    </row>
    <row r="275" spans="2:11" s="33" customFormat="1" x14ac:dyDescent="0.25">
      <c r="B275" s="40"/>
      <c r="C275" s="40"/>
      <c r="D275" s="40"/>
      <c r="E275" s="40"/>
      <c r="F275" s="40"/>
      <c r="G275" s="40"/>
      <c r="H275" s="40"/>
      <c r="I275" s="40"/>
      <c r="J275" s="40"/>
      <c r="K275" s="40"/>
    </row>
    <row r="276" spans="2:11" s="33" customFormat="1" x14ac:dyDescent="0.25">
      <c r="B276" s="40"/>
      <c r="C276" s="40"/>
      <c r="D276" s="40"/>
      <c r="E276" s="40"/>
      <c r="F276" s="40"/>
      <c r="G276" s="40"/>
      <c r="H276" s="40"/>
      <c r="I276" s="40"/>
      <c r="J276" s="40"/>
      <c r="K276" s="40"/>
    </row>
    <row r="277" spans="2:11" s="33" customFormat="1" x14ac:dyDescent="0.25">
      <c r="B277" s="40"/>
      <c r="C277" s="40"/>
      <c r="D277" s="40"/>
      <c r="E277" s="40"/>
      <c r="F277" s="40"/>
      <c r="G277" s="40"/>
      <c r="H277" s="40"/>
      <c r="I277" s="40"/>
      <c r="J277" s="40"/>
      <c r="K277" s="40"/>
    </row>
    <row r="278" spans="2:11" s="33" customFormat="1" x14ac:dyDescent="0.25">
      <c r="B278" s="40"/>
      <c r="C278" s="40"/>
      <c r="D278" s="40"/>
      <c r="E278" s="40"/>
      <c r="F278" s="40"/>
      <c r="G278" s="40"/>
      <c r="H278" s="40"/>
      <c r="I278" s="40"/>
      <c r="J278" s="40"/>
      <c r="K278" s="40"/>
    </row>
    <row r="279" spans="2:11" s="33" customFormat="1" x14ac:dyDescent="0.25">
      <c r="B279" s="40"/>
      <c r="C279" s="40"/>
      <c r="D279" s="40"/>
      <c r="E279" s="40"/>
      <c r="F279" s="40"/>
      <c r="G279" s="40"/>
      <c r="H279" s="40"/>
      <c r="I279" s="40"/>
      <c r="J279" s="40"/>
      <c r="K279" s="40"/>
    </row>
    <row r="280" spans="2:11" s="33" customFormat="1" x14ac:dyDescent="0.25">
      <c r="B280" s="40"/>
      <c r="C280" s="40"/>
      <c r="D280" s="40"/>
      <c r="E280" s="40"/>
      <c r="F280" s="40"/>
      <c r="G280" s="40"/>
      <c r="H280" s="40"/>
      <c r="I280" s="40"/>
      <c r="J280" s="40"/>
      <c r="K280" s="40"/>
    </row>
    <row r="281" spans="2:11" s="33" customFormat="1" x14ac:dyDescent="0.25">
      <c r="B281" s="40"/>
      <c r="C281" s="40"/>
      <c r="D281" s="40"/>
      <c r="E281" s="40"/>
      <c r="F281" s="40"/>
      <c r="G281" s="40"/>
      <c r="H281" s="40"/>
      <c r="I281" s="40"/>
      <c r="J281" s="40"/>
      <c r="K281" s="40"/>
    </row>
    <row r="282" spans="2:11" s="33" customFormat="1" x14ac:dyDescent="0.25">
      <c r="B282" s="40"/>
      <c r="C282" s="40"/>
      <c r="D282" s="40"/>
      <c r="E282" s="40"/>
      <c r="F282" s="40"/>
      <c r="G282" s="40"/>
      <c r="H282" s="40"/>
      <c r="I282" s="40"/>
      <c r="J282" s="40"/>
      <c r="K282" s="40"/>
    </row>
    <row r="283" spans="2:11" s="33" customFormat="1" x14ac:dyDescent="0.25">
      <c r="B283" s="40"/>
      <c r="C283" s="40"/>
      <c r="D283" s="40"/>
      <c r="E283" s="40"/>
      <c r="F283" s="40"/>
      <c r="G283" s="40"/>
      <c r="H283" s="40"/>
      <c r="I283" s="40"/>
      <c r="J283" s="40"/>
      <c r="K283" s="40"/>
    </row>
    <row r="284" spans="2:11" s="33" customFormat="1" x14ac:dyDescent="0.25">
      <c r="B284" s="40"/>
      <c r="C284" s="40"/>
      <c r="D284" s="40"/>
      <c r="E284" s="40"/>
      <c r="F284" s="40"/>
      <c r="G284" s="40"/>
      <c r="H284" s="40"/>
      <c r="I284" s="40"/>
      <c r="J284" s="40"/>
      <c r="K284" s="40"/>
    </row>
    <row r="285" spans="2:11" s="33" customFormat="1" x14ac:dyDescent="0.25">
      <c r="B285" s="40"/>
      <c r="C285" s="40"/>
      <c r="D285" s="40"/>
      <c r="E285" s="40"/>
      <c r="F285" s="40"/>
      <c r="G285" s="40"/>
      <c r="H285" s="40"/>
      <c r="I285" s="40"/>
      <c r="J285" s="40"/>
      <c r="K285" s="40"/>
    </row>
    <row r="286" spans="2:11" s="33" customFormat="1" x14ac:dyDescent="0.25">
      <c r="B286" s="40"/>
      <c r="C286" s="40"/>
      <c r="D286" s="40"/>
      <c r="E286" s="40"/>
      <c r="F286" s="40"/>
      <c r="G286" s="40"/>
      <c r="H286" s="40"/>
      <c r="I286" s="40"/>
      <c r="J286" s="40"/>
      <c r="K286" s="40"/>
    </row>
    <row r="287" spans="2:11" s="33" customFormat="1" x14ac:dyDescent="0.25">
      <c r="B287" s="40"/>
      <c r="C287" s="40"/>
      <c r="D287" s="40"/>
      <c r="E287" s="40"/>
      <c r="F287" s="40"/>
      <c r="G287" s="40"/>
      <c r="H287" s="40"/>
      <c r="I287" s="40"/>
      <c r="J287" s="40"/>
      <c r="K287" s="40"/>
    </row>
    <row r="288" spans="2:11" s="33" customFormat="1" x14ac:dyDescent="0.25">
      <c r="B288" s="40"/>
      <c r="C288" s="40"/>
      <c r="D288" s="40"/>
      <c r="E288" s="40"/>
      <c r="F288" s="40"/>
      <c r="G288" s="40"/>
      <c r="H288" s="40"/>
      <c r="I288" s="40"/>
      <c r="J288" s="40"/>
      <c r="K288" s="40"/>
    </row>
    <row r="289" spans="2:11" s="33" customFormat="1" x14ac:dyDescent="0.25">
      <c r="B289" s="40"/>
      <c r="C289" s="40"/>
      <c r="D289" s="40"/>
      <c r="E289" s="40"/>
      <c r="F289" s="40"/>
      <c r="G289" s="40"/>
      <c r="H289" s="40"/>
      <c r="I289" s="40"/>
      <c r="J289" s="40"/>
      <c r="K289" s="40"/>
    </row>
    <row r="290" spans="2:11" s="33" customFormat="1" x14ac:dyDescent="0.25">
      <c r="B290" s="40"/>
      <c r="C290" s="40"/>
      <c r="D290" s="40"/>
      <c r="E290" s="40"/>
      <c r="F290" s="40"/>
      <c r="G290" s="40"/>
      <c r="H290" s="40"/>
      <c r="I290" s="40"/>
      <c r="J290" s="40"/>
      <c r="K290" s="40"/>
    </row>
    <row r="291" spans="2:11" s="33" customFormat="1" x14ac:dyDescent="0.25">
      <c r="B291" s="40"/>
      <c r="C291" s="40"/>
      <c r="D291" s="40"/>
      <c r="E291" s="40"/>
      <c r="F291" s="40"/>
      <c r="G291" s="40"/>
      <c r="H291" s="40"/>
      <c r="I291" s="40"/>
      <c r="J291" s="40"/>
      <c r="K291" s="40"/>
    </row>
    <row r="292" spans="2:11" s="33" customFormat="1" x14ac:dyDescent="0.25">
      <c r="B292" s="40"/>
      <c r="C292" s="40"/>
      <c r="D292" s="40"/>
      <c r="E292" s="40"/>
      <c r="F292" s="40"/>
      <c r="G292" s="40"/>
      <c r="H292" s="40"/>
      <c r="I292" s="40"/>
      <c r="J292" s="40"/>
      <c r="K292" s="40"/>
    </row>
    <row r="293" spans="2:11" s="33" customFormat="1" x14ac:dyDescent="0.25">
      <c r="B293" s="40"/>
      <c r="C293" s="40"/>
      <c r="D293" s="40"/>
      <c r="E293" s="40"/>
      <c r="F293" s="40"/>
      <c r="G293" s="40"/>
      <c r="H293" s="40"/>
      <c r="I293" s="40"/>
      <c r="J293" s="40"/>
      <c r="K293" s="40"/>
    </row>
    <row r="294" spans="2:11" s="33" customFormat="1" x14ac:dyDescent="0.25">
      <c r="B294" s="40"/>
      <c r="C294" s="40"/>
      <c r="D294" s="40"/>
      <c r="E294" s="40"/>
      <c r="F294" s="40"/>
      <c r="G294" s="40"/>
      <c r="H294" s="40"/>
      <c r="I294" s="40"/>
      <c r="J294" s="40"/>
      <c r="K294" s="40"/>
    </row>
    <row r="295" spans="2:11" s="33" customFormat="1" x14ac:dyDescent="0.25">
      <c r="B295" s="40"/>
      <c r="C295" s="40"/>
      <c r="D295" s="40"/>
      <c r="E295" s="40"/>
      <c r="F295" s="40"/>
      <c r="G295" s="40"/>
      <c r="H295" s="40"/>
      <c r="I295" s="40"/>
      <c r="J295" s="40"/>
      <c r="K295" s="40"/>
    </row>
    <row r="296" spans="2:11" s="33" customFormat="1" x14ac:dyDescent="0.25">
      <c r="B296" s="40"/>
      <c r="C296" s="40"/>
      <c r="D296" s="40"/>
      <c r="E296" s="40"/>
      <c r="F296" s="40"/>
      <c r="G296" s="40"/>
      <c r="H296" s="40"/>
      <c r="I296" s="40"/>
      <c r="J296" s="40"/>
      <c r="K296" s="40"/>
    </row>
    <row r="297" spans="2:11" s="33" customFormat="1" x14ac:dyDescent="0.25">
      <c r="B297" s="40"/>
      <c r="C297" s="40"/>
      <c r="D297" s="40"/>
      <c r="E297" s="40"/>
      <c r="F297" s="40"/>
      <c r="G297" s="40"/>
      <c r="H297" s="40"/>
      <c r="I297" s="40"/>
      <c r="J297" s="40"/>
      <c r="K297" s="40"/>
    </row>
    <row r="298" spans="2:11" s="33" customFormat="1" x14ac:dyDescent="0.25">
      <c r="B298" s="40"/>
      <c r="C298" s="40"/>
      <c r="D298" s="40"/>
      <c r="E298" s="40"/>
      <c r="F298" s="40"/>
      <c r="G298" s="40"/>
      <c r="H298" s="40"/>
      <c r="I298" s="40"/>
      <c r="J298" s="40"/>
      <c r="K298" s="40"/>
    </row>
    <row r="299" spans="2:11" s="33" customFormat="1" x14ac:dyDescent="0.25">
      <c r="B299" s="40"/>
      <c r="C299" s="40"/>
      <c r="D299" s="40"/>
      <c r="E299" s="40"/>
      <c r="F299" s="40"/>
      <c r="G299" s="40"/>
      <c r="H299" s="40"/>
      <c r="I299" s="40"/>
      <c r="J299" s="40"/>
      <c r="K299" s="40"/>
    </row>
    <row r="300" spans="2:11" s="33" customFormat="1" x14ac:dyDescent="0.25">
      <c r="B300" s="40"/>
      <c r="C300" s="40"/>
      <c r="D300" s="40"/>
      <c r="E300" s="40"/>
      <c r="F300" s="40"/>
      <c r="G300" s="40"/>
      <c r="H300" s="40"/>
      <c r="I300" s="40"/>
      <c r="J300" s="40"/>
      <c r="K300" s="40"/>
    </row>
    <row r="301" spans="2:11" s="33" customFormat="1" x14ac:dyDescent="0.25">
      <c r="B301" s="40"/>
      <c r="C301" s="40"/>
      <c r="D301" s="40"/>
      <c r="E301" s="40"/>
      <c r="F301" s="40"/>
      <c r="G301" s="40"/>
      <c r="H301" s="40"/>
      <c r="I301" s="40"/>
      <c r="J301" s="40"/>
      <c r="K301" s="40"/>
    </row>
    <row r="302" spans="2:11" s="33" customFormat="1" x14ac:dyDescent="0.25">
      <c r="B302" s="40"/>
      <c r="C302" s="40"/>
      <c r="D302" s="40"/>
      <c r="E302" s="40"/>
      <c r="F302" s="40"/>
      <c r="G302" s="40"/>
      <c r="H302" s="40"/>
      <c r="I302" s="40"/>
      <c r="J302" s="40"/>
      <c r="K302" s="40"/>
    </row>
    <row r="303" spans="2:11" s="33" customFormat="1" x14ac:dyDescent="0.25">
      <c r="B303" s="40"/>
      <c r="C303" s="40"/>
      <c r="D303" s="40"/>
      <c r="E303" s="40"/>
      <c r="F303" s="40"/>
      <c r="G303" s="40"/>
      <c r="H303" s="40"/>
      <c r="I303" s="40"/>
      <c r="J303" s="40"/>
      <c r="K303" s="40"/>
    </row>
    <row r="304" spans="2:11" s="33" customFormat="1" x14ac:dyDescent="0.25">
      <c r="B304" s="40"/>
      <c r="C304" s="40"/>
      <c r="D304" s="40"/>
      <c r="E304" s="40"/>
      <c r="F304" s="40"/>
      <c r="G304" s="40"/>
      <c r="H304" s="40"/>
      <c r="I304" s="40"/>
      <c r="J304" s="40"/>
      <c r="K304" s="40"/>
    </row>
    <row r="305" spans="2:11" s="33" customFormat="1" x14ac:dyDescent="0.25">
      <c r="B305" s="40"/>
      <c r="C305" s="40"/>
      <c r="D305" s="40"/>
      <c r="E305" s="40"/>
      <c r="F305" s="40"/>
      <c r="G305" s="40"/>
      <c r="H305" s="40"/>
      <c r="I305" s="40"/>
      <c r="J305" s="40"/>
      <c r="K305" s="40"/>
    </row>
    <row r="306" spans="2:11" s="33" customFormat="1" x14ac:dyDescent="0.25">
      <c r="B306" s="40"/>
      <c r="C306" s="40"/>
      <c r="D306" s="40"/>
      <c r="E306" s="40"/>
      <c r="F306" s="40"/>
      <c r="G306" s="40"/>
      <c r="H306" s="40"/>
      <c r="I306" s="40"/>
      <c r="J306" s="40"/>
      <c r="K306" s="40"/>
    </row>
    <row r="307" spans="2:11" s="33" customFormat="1" x14ac:dyDescent="0.25">
      <c r="B307" s="40"/>
      <c r="C307" s="40"/>
      <c r="D307" s="40"/>
      <c r="E307" s="40"/>
      <c r="F307" s="40"/>
      <c r="G307" s="40"/>
      <c r="H307" s="40"/>
      <c r="I307" s="40"/>
      <c r="J307" s="40"/>
      <c r="K307" s="40"/>
    </row>
    <row r="308" spans="2:11" s="33" customFormat="1" x14ac:dyDescent="0.25">
      <c r="B308" s="40"/>
      <c r="C308" s="40"/>
      <c r="D308" s="40"/>
      <c r="E308" s="40"/>
      <c r="F308" s="40"/>
      <c r="G308" s="40"/>
      <c r="H308" s="40"/>
      <c r="I308" s="40"/>
      <c r="J308" s="40"/>
      <c r="K308" s="40"/>
    </row>
    <row r="309" spans="2:11" s="33" customFormat="1" x14ac:dyDescent="0.25">
      <c r="B309" s="40"/>
      <c r="C309" s="40"/>
      <c r="D309" s="40"/>
      <c r="E309" s="40"/>
      <c r="F309" s="40"/>
      <c r="G309" s="40"/>
      <c r="H309" s="40"/>
      <c r="I309" s="40"/>
      <c r="J309" s="40"/>
      <c r="K309" s="40"/>
    </row>
    <row r="310" spans="2:11" s="33" customFormat="1" x14ac:dyDescent="0.25">
      <c r="B310" s="40"/>
      <c r="C310" s="40"/>
      <c r="D310" s="40"/>
      <c r="E310" s="40"/>
      <c r="F310" s="40"/>
      <c r="G310" s="40"/>
      <c r="H310" s="40"/>
      <c r="I310" s="40"/>
      <c r="J310" s="40"/>
      <c r="K310" s="40"/>
    </row>
    <row r="311" spans="2:11" s="33" customFormat="1" x14ac:dyDescent="0.25">
      <c r="B311" s="40"/>
      <c r="C311" s="40"/>
      <c r="D311" s="40"/>
      <c r="E311" s="40"/>
      <c r="F311" s="40"/>
      <c r="G311" s="40"/>
      <c r="H311" s="40"/>
      <c r="I311" s="40"/>
      <c r="J311" s="40"/>
      <c r="K311" s="40"/>
    </row>
    <row r="312" spans="2:11" s="33" customFormat="1" x14ac:dyDescent="0.25">
      <c r="B312" s="40"/>
      <c r="C312" s="40"/>
      <c r="D312" s="40"/>
      <c r="E312" s="40"/>
      <c r="F312" s="40"/>
      <c r="G312" s="40"/>
      <c r="H312" s="40"/>
      <c r="I312" s="40"/>
      <c r="J312" s="40"/>
      <c r="K312" s="40"/>
    </row>
    <row r="313" spans="2:11" s="33" customFormat="1" x14ac:dyDescent="0.25">
      <c r="B313" s="40"/>
      <c r="C313" s="40"/>
      <c r="D313" s="40"/>
      <c r="E313" s="40"/>
      <c r="F313" s="40"/>
      <c r="G313" s="40"/>
      <c r="H313" s="40"/>
      <c r="I313" s="40"/>
      <c r="J313" s="40"/>
      <c r="K313" s="40"/>
    </row>
    <row r="314" spans="2:11" s="33" customFormat="1" x14ac:dyDescent="0.25">
      <c r="B314" s="40"/>
      <c r="C314" s="40"/>
      <c r="D314" s="40"/>
      <c r="E314" s="40"/>
      <c r="F314" s="40"/>
      <c r="G314" s="40"/>
      <c r="H314" s="40"/>
      <c r="I314" s="40"/>
      <c r="J314" s="40"/>
      <c r="K314" s="40"/>
    </row>
    <row r="315" spans="2:11" s="33" customFormat="1" x14ac:dyDescent="0.25">
      <c r="B315" s="40"/>
      <c r="C315" s="40"/>
      <c r="D315" s="40"/>
      <c r="E315" s="40"/>
      <c r="F315" s="40"/>
      <c r="G315" s="40"/>
      <c r="H315" s="40"/>
      <c r="I315" s="40"/>
      <c r="J315" s="40"/>
      <c r="K315" s="40"/>
    </row>
    <row r="316" spans="2:11" s="33" customFormat="1" x14ac:dyDescent="0.25">
      <c r="B316" s="40"/>
      <c r="C316" s="40"/>
      <c r="D316" s="40"/>
      <c r="E316" s="40"/>
      <c r="F316" s="40"/>
      <c r="G316" s="40"/>
      <c r="H316" s="40"/>
      <c r="I316" s="40"/>
      <c r="J316" s="40"/>
      <c r="K316" s="40"/>
    </row>
    <row r="317" spans="2:11" s="33" customFormat="1" x14ac:dyDescent="0.25">
      <c r="B317" s="40"/>
      <c r="C317" s="40"/>
      <c r="D317" s="40"/>
      <c r="E317" s="40"/>
      <c r="F317" s="40"/>
      <c r="G317" s="40"/>
      <c r="H317" s="40"/>
      <c r="I317" s="40"/>
      <c r="J317" s="40"/>
      <c r="K317" s="40"/>
    </row>
    <row r="318" spans="2:11" s="33" customFormat="1" x14ac:dyDescent="0.25">
      <c r="B318" s="40"/>
      <c r="C318" s="40"/>
      <c r="D318" s="40"/>
      <c r="E318" s="40"/>
      <c r="F318" s="40"/>
      <c r="G318" s="40"/>
      <c r="H318" s="40"/>
      <c r="I318" s="40"/>
      <c r="J318" s="40"/>
      <c r="K318" s="40"/>
    </row>
    <row r="319" spans="2:11" s="33" customFormat="1" x14ac:dyDescent="0.25">
      <c r="B319" s="40"/>
      <c r="C319" s="40"/>
      <c r="D319" s="40"/>
      <c r="E319" s="40"/>
      <c r="F319" s="40"/>
      <c r="G319" s="40"/>
      <c r="H319" s="40"/>
      <c r="I319" s="40"/>
      <c r="J319" s="40"/>
      <c r="K319" s="40"/>
    </row>
    <row r="320" spans="2:11" s="33" customFormat="1" x14ac:dyDescent="0.25">
      <c r="B320" s="40"/>
      <c r="C320" s="40"/>
      <c r="D320" s="40"/>
      <c r="E320" s="40"/>
      <c r="F320" s="40"/>
      <c r="G320" s="40"/>
      <c r="H320" s="40"/>
      <c r="I320" s="40"/>
      <c r="J320" s="40"/>
      <c r="K320" s="40"/>
    </row>
    <row r="321" spans="2:11" s="33" customFormat="1" x14ac:dyDescent="0.25">
      <c r="B321" s="40"/>
      <c r="C321" s="40"/>
      <c r="D321" s="40"/>
      <c r="E321" s="40"/>
      <c r="F321" s="40"/>
      <c r="G321" s="40"/>
      <c r="H321" s="40"/>
      <c r="I321" s="40"/>
      <c r="J321" s="40"/>
      <c r="K321" s="40"/>
    </row>
    <row r="322" spans="2:11" s="33" customFormat="1" x14ac:dyDescent="0.25">
      <c r="B322" s="40"/>
      <c r="C322" s="40"/>
      <c r="D322" s="40"/>
      <c r="E322" s="40"/>
      <c r="F322" s="40"/>
      <c r="G322" s="40"/>
      <c r="H322" s="40"/>
      <c r="I322" s="40"/>
      <c r="J322" s="40"/>
      <c r="K322" s="40"/>
    </row>
    <row r="323" spans="2:11" s="33" customFormat="1" x14ac:dyDescent="0.25">
      <c r="B323" s="40"/>
      <c r="C323" s="40"/>
      <c r="D323" s="40"/>
      <c r="E323" s="40"/>
      <c r="F323" s="40"/>
      <c r="G323" s="40"/>
      <c r="H323" s="40"/>
      <c r="I323" s="40"/>
      <c r="J323" s="40"/>
      <c r="K323" s="40"/>
    </row>
    <row r="324" spans="2:11" s="33" customFormat="1" x14ac:dyDescent="0.25">
      <c r="B324" s="40"/>
      <c r="C324" s="40"/>
      <c r="D324" s="40"/>
      <c r="E324" s="40"/>
      <c r="F324" s="40"/>
      <c r="G324" s="40"/>
      <c r="H324" s="40"/>
      <c r="I324" s="40"/>
      <c r="J324" s="40"/>
      <c r="K324" s="40"/>
    </row>
    <row r="325" spans="2:11" s="33" customFormat="1" x14ac:dyDescent="0.25">
      <c r="B325" s="40"/>
      <c r="C325" s="40"/>
      <c r="D325" s="40"/>
      <c r="E325" s="40"/>
      <c r="F325" s="40"/>
      <c r="G325" s="40"/>
      <c r="H325" s="40"/>
      <c r="I325" s="40"/>
      <c r="J325" s="40"/>
      <c r="K325" s="40"/>
    </row>
    <row r="326" spans="2:11" s="33" customFormat="1" x14ac:dyDescent="0.25">
      <c r="B326" s="40"/>
      <c r="C326" s="40"/>
      <c r="D326" s="40"/>
      <c r="E326" s="40"/>
      <c r="F326" s="40"/>
      <c r="G326" s="40"/>
      <c r="H326" s="40"/>
      <c r="I326" s="40"/>
      <c r="J326" s="40"/>
      <c r="K326" s="40"/>
    </row>
    <row r="327" spans="2:11" s="33" customFormat="1" x14ac:dyDescent="0.25">
      <c r="B327" s="40"/>
      <c r="C327" s="40"/>
      <c r="D327" s="40"/>
      <c r="E327" s="40"/>
      <c r="F327" s="40"/>
      <c r="G327" s="40"/>
      <c r="H327" s="40"/>
      <c r="I327" s="40"/>
      <c r="J327" s="40"/>
      <c r="K327" s="40"/>
    </row>
    <row r="328" spans="2:11" s="33" customFormat="1" x14ac:dyDescent="0.25">
      <c r="B328" s="40"/>
      <c r="C328" s="40"/>
      <c r="D328" s="40"/>
      <c r="E328" s="40"/>
      <c r="F328" s="40"/>
      <c r="G328" s="40"/>
      <c r="H328" s="40"/>
      <c r="I328" s="40"/>
      <c r="J328" s="40"/>
      <c r="K328" s="40"/>
    </row>
    <row r="329" spans="2:11" s="33" customFormat="1" x14ac:dyDescent="0.25">
      <c r="B329" s="40"/>
      <c r="C329" s="40"/>
      <c r="D329" s="40"/>
      <c r="E329" s="40"/>
      <c r="F329" s="40"/>
      <c r="G329" s="40"/>
      <c r="H329" s="40"/>
      <c r="I329" s="40"/>
      <c r="J329" s="40"/>
      <c r="K329" s="40"/>
    </row>
    <row r="330" spans="2:11" s="33" customFormat="1" x14ac:dyDescent="0.25">
      <c r="B330" s="40"/>
      <c r="C330" s="40"/>
      <c r="D330" s="40"/>
      <c r="E330" s="40"/>
      <c r="F330" s="40"/>
      <c r="G330" s="40"/>
      <c r="H330" s="40"/>
      <c r="I330" s="40"/>
      <c r="J330" s="40"/>
      <c r="K330" s="40"/>
    </row>
    <row r="331" spans="2:11" s="33" customFormat="1" x14ac:dyDescent="0.25">
      <c r="B331" s="40"/>
      <c r="C331" s="40"/>
      <c r="D331" s="40"/>
      <c r="E331" s="40"/>
      <c r="F331" s="40"/>
      <c r="G331" s="40"/>
      <c r="H331" s="40"/>
      <c r="I331" s="40"/>
      <c r="J331" s="40"/>
      <c r="K331" s="40"/>
    </row>
    <row r="332" spans="2:11" s="33" customFormat="1" x14ac:dyDescent="0.25">
      <c r="B332" s="40"/>
      <c r="C332" s="40"/>
      <c r="D332" s="40"/>
      <c r="E332" s="40"/>
      <c r="F332" s="40"/>
      <c r="G332" s="40"/>
      <c r="H332" s="40"/>
      <c r="I332" s="40"/>
      <c r="J332" s="40"/>
      <c r="K332" s="40"/>
    </row>
    <row r="333" spans="2:11" s="33" customFormat="1" x14ac:dyDescent="0.25">
      <c r="B333" s="40"/>
      <c r="C333" s="40"/>
      <c r="D333" s="40"/>
      <c r="E333" s="40"/>
      <c r="F333" s="40"/>
      <c r="G333" s="40"/>
      <c r="H333" s="40"/>
      <c r="I333" s="40"/>
      <c r="J333" s="40"/>
      <c r="K333" s="40"/>
    </row>
    <row r="334" spans="2:11" s="33" customFormat="1" x14ac:dyDescent="0.25">
      <c r="B334" s="40"/>
      <c r="C334" s="40"/>
      <c r="D334" s="40"/>
      <c r="E334" s="40"/>
      <c r="F334" s="40"/>
      <c r="G334" s="40"/>
      <c r="H334" s="40"/>
      <c r="I334" s="40"/>
      <c r="J334" s="40"/>
      <c r="K334" s="40"/>
    </row>
    <row r="335" spans="2:11" s="33" customFormat="1" x14ac:dyDescent="0.25">
      <c r="B335" s="40"/>
      <c r="C335" s="40"/>
      <c r="D335" s="40"/>
      <c r="E335" s="40"/>
      <c r="F335" s="40"/>
      <c r="G335" s="40"/>
      <c r="H335" s="40"/>
      <c r="I335" s="40"/>
      <c r="J335" s="40"/>
      <c r="K335" s="40"/>
    </row>
    <row r="336" spans="2:11" s="33" customFormat="1" x14ac:dyDescent="0.25">
      <c r="B336" s="40"/>
      <c r="C336" s="40"/>
      <c r="D336" s="40"/>
      <c r="E336" s="40"/>
      <c r="F336" s="40"/>
      <c r="G336" s="40"/>
      <c r="H336" s="40"/>
      <c r="I336" s="40"/>
      <c r="J336" s="40"/>
      <c r="K336" s="40"/>
    </row>
    <row r="337" spans="2:11" s="33" customFormat="1" x14ac:dyDescent="0.25">
      <c r="B337" s="40"/>
      <c r="C337" s="40"/>
      <c r="D337" s="40"/>
      <c r="E337" s="40"/>
      <c r="F337" s="40"/>
      <c r="G337" s="40"/>
      <c r="H337" s="40"/>
      <c r="I337" s="40"/>
      <c r="J337" s="40"/>
      <c r="K337" s="40"/>
    </row>
    <row r="338" spans="2:11" s="33" customFormat="1" x14ac:dyDescent="0.25">
      <c r="B338" s="40"/>
      <c r="C338" s="40"/>
      <c r="D338" s="40"/>
      <c r="E338" s="40"/>
      <c r="F338" s="40"/>
      <c r="G338" s="40"/>
      <c r="H338" s="40"/>
      <c r="I338" s="40"/>
      <c r="J338" s="40"/>
      <c r="K338" s="40"/>
    </row>
    <row r="339" spans="2:11" s="33" customFormat="1" x14ac:dyDescent="0.25">
      <c r="B339" s="40"/>
      <c r="C339" s="40"/>
      <c r="D339" s="40"/>
      <c r="E339" s="40"/>
      <c r="F339" s="40"/>
      <c r="G339" s="40"/>
      <c r="H339" s="40"/>
      <c r="I339" s="40"/>
      <c r="J339" s="40"/>
      <c r="K339" s="40"/>
    </row>
    <row r="340" spans="2:11" s="33" customFormat="1" x14ac:dyDescent="0.25">
      <c r="B340" s="40"/>
      <c r="C340" s="40"/>
      <c r="D340" s="40"/>
      <c r="E340" s="40"/>
      <c r="F340" s="40"/>
      <c r="G340" s="40"/>
      <c r="H340" s="40"/>
      <c r="I340" s="40"/>
      <c r="J340" s="40"/>
      <c r="K340" s="40"/>
    </row>
    <row r="341" spans="2:11" s="33" customFormat="1" x14ac:dyDescent="0.25">
      <c r="B341" s="40"/>
      <c r="C341" s="40"/>
      <c r="D341" s="40"/>
      <c r="E341" s="40"/>
      <c r="F341" s="40"/>
      <c r="G341" s="40"/>
      <c r="H341" s="40"/>
      <c r="I341" s="40"/>
      <c r="J341" s="40"/>
      <c r="K341" s="40"/>
    </row>
    <row r="342" spans="2:11" s="33" customFormat="1" x14ac:dyDescent="0.25">
      <c r="B342" s="40"/>
      <c r="C342" s="40"/>
      <c r="D342" s="40"/>
      <c r="E342" s="40"/>
      <c r="F342" s="40"/>
      <c r="G342" s="40"/>
      <c r="H342" s="40"/>
      <c r="I342" s="40"/>
      <c r="J342" s="40"/>
      <c r="K342" s="40"/>
    </row>
    <row r="343" spans="2:11" s="33" customFormat="1" x14ac:dyDescent="0.25">
      <c r="B343" s="40"/>
      <c r="C343" s="40"/>
      <c r="D343" s="40"/>
      <c r="E343" s="40"/>
      <c r="F343" s="40"/>
      <c r="G343" s="40"/>
      <c r="H343" s="40"/>
      <c r="I343" s="40"/>
      <c r="J343" s="40"/>
      <c r="K343" s="40"/>
    </row>
    <row r="344" spans="2:11" s="33" customFormat="1" x14ac:dyDescent="0.25">
      <c r="B344" s="40"/>
      <c r="C344" s="40"/>
      <c r="D344" s="40"/>
      <c r="E344" s="40"/>
      <c r="F344" s="40"/>
      <c r="G344" s="40"/>
      <c r="H344" s="40"/>
      <c r="I344" s="40"/>
      <c r="J344" s="40"/>
      <c r="K344" s="40"/>
    </row>
    <row r="345" spans="2:11" s="33" customFormat="1" x14ac:dyDescent="0.25">
      <c r="B345" s="40"/>
      <c r="C345" s="40"/>
      <c r="D345" s="40"/>
      <c r="E345" s="40"/>
      <c r="F345" s="40"/>
      <c r="G345" s="40"/>
      <c r="H345" s="40"/>
      <c r="I345" s="40"/>
      <c r="J345" s="40"/>
      <c r="K345" s="40"/>
    </row>
    <row r="346" spans="2:11" s="33" customFormat="1" x14ac:dyDescent="0.25">
      <c r="B346" s="40"/>
      <c r="C346" s="40"/>
      <c r="D346" s="40"/>
      <c r="E346" s="40"/>
      <c r="F346" s="40"/>
      <c r="G346" s="40"/>
      <c r="H346" s="40"/>
      <c r="I346" s="40"/>
      <c r="J346" s="40"/>
      <c r="K346" s="40"/>
    </row>
    <row r="347" spans="2:11" s="33" customFormat="1" x14ac:dyDescent="0.25">
      <c r="B347" s="40"/>
      <c r="C347" s="40"/>
      <c r="D347" s="40"/>
      <c r="E347" s="40"/>
      <c r="F347" s="40"/>
      <c r="G347" s="40"/>
      <c r="H347" s="40"/>
      <c r="I347" s="40"/>
      <c r="J347" s="40"/>
      <c r="K347" s="40"/>
    </row>
    <row r="348" spans="2:11" s="33" customFormat="1" x14ac:dyDescent="0.25">
      <c r="B348" s="40"/>
      <c r="C348" s="40"/>
      <c r="D348" s="40"/>
      <c r="E348" s="40"/>
      <c r="F348" s="40"/>
      <c r="G348" s="40"/>
      <c r="H348" s="40"/>
      <c r="I348" s="40"/>
      <c r="J348" s="40"/>
      <c r="K348" s="40"/>
    </row>
    <row r="349" spans="2:11" s="33" customFormat="1" x14ac:dyDescent="0.25">
      <c r="B349" s="40"/>
      <c r="C349" s="40"/>
      <c r="D349" s="40"/>
      <c r="E349" s="40"/>
      <c r="F349" s="40"/>
      <c r="G349" s="40"/>
      <c r="H349" s="40"/>
      <c r="I349" s="40"/>
      <c r="J349" s="40"/>
      <c r="K349" s="40"/>
    </row>
    <row r="350" spans="2:11" s="33" customFormat="1" x14ac:dyDescent="0.25">
      <c r="B350" s="40"/>
      <c r="C350" s="40"/>
      <c r="D350" s="40"/>
      <c r="E350" s="40"/>
      <c r="F350" s="40"/>
      <c r="G350" s="40"/>
      <c r="H350" s="40"/>
      <c r="I350" s="40"/>
      <c r="J350" s="40"/>
      <c r="K350" s="40"/>
    </row>
    <row r="351" spans="2:11" s="33" customFormat="1" x14ac:dyDescent="0.25">
      <c r="B351" s="40"/>
      <c r="C351" s="40"/>
      <c r="D351" s="40"/>
      <c r="E351" s="40"/>
      <c r="F351" s="40"/>
      <c r="G351" s="40"/>
      <c r="H351" s="40"/>
      <c r="I351" s="40"/>
      <c r="J351" s="40"/>
      <c r="K351" s="40"/>
    </row>
    <row r="352" spans="2:11" s="33" customFormat="1" x14ac:dyDescent="0.25">
      <c r="B352" s="40"/>
      <c r="C352" s="40"/>
      <c r="D352" s="40"/>
      <c r="E352" s="40"/>
      <c r="F352" s="40"/>
      <c r="G352" s="40"/>
      <c r="H352" s="40"/>
      <c r="I352" s="40"/>
      <c r="J352" s="40"/>
      <c r="K352" s="40"/>
    </row>
    <row r="353" spans="2:11" s="33" customFormat="1" x14ac:dyDescent="0.25">
      <c r="B353" s="40"/>
      <c r="C353" s="40"/>
      <c r="D353" s="40"/>
      <c r="E353" s="40"/>
      <c r="F353" s="40"/>
      <c r="G353" s="40"/>
      <c r="H353" s="40"/>
      <c r="I353" s="40"/>
      <c r="J353" s="40"/>
      <c r="K353" s="40"/>
    </row>
    <row r="354" spans="2:11" s="33" customFormat="1" x14ac:dyDescent="0.25">
      <c r="B354" s="40"/>
      <c r="C354" s="40"/>
      <c r="D354" s="40"/>
      <c r="E354" s="40"/>
      <c r="F354" s="40"/>
      <c r="G354" s="40"/>
      <c r="H354" s="40"/>
      <c r="I354" s="40"/>
      <c r="J354" s="40"/>
      <c r="K354" s="40"/>
    </row>
    <row r="355" spans="2:11" s="33" customFormat="1" x14ac:dyDescent="0.25">
      <c r="B355" s="40"/>
      <c r="C355" s="40"/>
      <c r="D355" s="40"/>
      <c r="E355" s="40"/>
      <c r="F355" s="40"/>
      <c r="G355" s="40"/>
      <c r="H355" s="40"/>
      <c r="I355" s="40"/>
      <c r="J355" s="40"/>
      <c r="K355" s="40"/>
    </row>
    <row r="356" spans="2:11" s="33" customFormat="1" x14ac:dyDescent="0.25">
      <c r="B356" s="40"/>
      <c r="C356" s="40"/>
      <c r="D356" s="40"/>
      <c r="E356" s="40"/>
      <c r="F356" s="40"/>
      <c r="G356" s="40"/>
      <c r="H356" s="40"/>
      <c r="I356" s="40"/>
      <c r="J356" s="40"/>
      <c r="K356" s="40"/>
    </row>
    <row r="357" spans="2:11" s="33" customFormat="1" x14ac:dyDescent="0.25">
      <c r="B357" s="40"/>
      <c r="C357" s="40"/>
      <c r="D357" s="40"/>
      <c r="E357" s="40"/>
      <c r="F357" s="40"/>
      <c r="G357" s="40"/>
      <c r="H357" s="40"/>
      <c r="I357" s="40"/>
      <c r="J357" s="40"/>
      <c r="K357" s="40"/>
    </row>
    <row r="358" spans="2:11" s="33" customFormat="1" x14ac:dyDescent="0.25">
      <c r="B358" s="40"/>
      <c r="C358" s="40"/>
      <c r="D358" s="40"/>
      <c r="E358" s="40"/>
      <c r="F358" s="40"/>
      <c r="G358" s="40"/>
      <c r="H358" s="40"/>
      <c r="I358" s="40"/>
      <c r="J358" s="40"/>
      <c r="K358" s="40"/>
    </row>
    <row r="359" spans="2:11" s="33" customFormat="1" x14ac:dyDescent="0.25">
      <c r="B359" s="40"/>
      <c r="C359" s="40"/>
      <c r="D359" s="40"/>
      <c r="E359" s="40"/>
      <c r="F359" s="40"/>
      <c r="G359" s="40"/>
      <c r="H359" s="40"/>
      <c r="I359" s="40"/>
      <c r="J359" s="40"/>
      <c r="K359" s="40"/>
    </row>
    <row r="360" spans="2:11" s="33" customFormat="1" x14ac:dyDescent="0.25">
      <c r="B360" s="40"/>
      <c r="C360" s="40"/>
      <c r="D360" s="40"/>
      <c r="E360" s="40"/>
      <c r="F360" s="40"/>
      <c r="G360" s="40"/>
      <c r="H360" s="40"/>
      <c r="I360" s="40"/>
      <c r="J360" s="40"/>
      <c r="K360" s="40"/>
    </row>
    <row r="361" spans="2:11" s="33" customFormat="1" x14ac:dyDescent="0.25">
      <c r="B361" s="40"/>
      <c r="C361" s="40"/>
      <c r="D361" s="40"/>
      <c r="E361" s="40"/>
      <c r="F361" s="40"/>
      <c r="G361" s="40"/>
      <c r="H361" s="40"/>
      <c r="I361" s="40"/>
      <c r="J361" s="40"/>
      <c r="K361" s="40"/>
    </row>
    <row r="362" spans="2:11" s="33" customFormat="1" x14ac:dyDescent="0.25">
      <c r="B362" s="40"/>
      <c r="C362" s="40"/>
      <c r="D362" s="40"/>
      <c r="E362" s="40"/>
      <c r="F362" s="40"/>
      <c r="G362" s="40"/>
      <c r="H362" s="40"/>
      <c r="I362" s="40"/>
      <c r="J362" s="40"/>
      <c r="K362" s="40"/>
    </row>
    <row r="363" spans="2:11" s="33" customFormat="1" x14ac:dyDescent="0.25">
      <c r="B363" s="40"/>
      <c r="C363" s="40"/>
      <c r="D363" s="40"/>
      <c r="E363" s="40"/>
      <c r="F363" s="40"/>
      <c r="G363" s="40"/>
      <c r="H363" s="40"/>
      <c r="I363" s="40"/>
      <c r="J363" s="40"/>
      <c r="K363" s="40"/>
    </row>
    <row r="364" spans="2:11" s="33" customFormat="1" x14ac:dyDescent="0.25">
      <c r="B364" s="40"/>
      <c r="C364" s="40"/>
      <c r="D364" s="40"/>
      <c r="E364" s="40"/>
      <c r="F364" s="40"/>
      <c r="G364" s="40"/>
      <c r="H364" s="40"/>
      <c r="I364" s="40"/>
      <c r="J364" s="40"/>
      <c r="K364" s="40"/>
    </row>
    <row r="365" spans="2:11" s="33" customFormat="1" x14ac:dyDescent="0.25">
      <c r="B365" s="40"/>
      <c r="C365" s="40"/>
      <c r="D365" s="40"/>
      <c r="E365" s="40"/>
      <c r="F365" s="40"/>
      <c r="G365" s="40"/>
      <c r="H365" s="40"/>
      <c r="I365" s="40"/>
      <c r="J365" s="40"/>
      <c r="K365" s="40"/>
    </row>
    <row r="366" spans="2:11" s="33" customFormat="1" x14ac:dyDescent="0.25">
      <c r="B366" s="40"/>
      <c r="C366" s="40"/>
      <c r="D366" s="40"/>
      <c r="E366" s="40"/>
      <c r="F366" s="40"/>
      <c r="G366" s="40"/>
      <c r="H366" s="40"/>
      <c r="I366" s="40"/>
      <c r="J366" s="40"/>
      <c r="K366" s="40"/>
    </row>
    <row r="367" spans="2:11" s="33" customFormat="1" x14ac:dyDescent="0.25">
      <c r="B367" s="40"/>
      <c r="C367" s="40"/>
      <c r="D367" s="40"/>
      <c r="E367" s="40"/>
      <c r="F367" s="40"/>
      <c r="G367" s="40"/>
      <c r="H367" s="40"/>
      <c r="I367" s="40"/>
      <c r="J367" s="40"/>
      <c r="K367" s="40"/>
    </row>
    <row r="368" spans="2:11" s="33" customFormat="1" x14ac:dyDescent="0.25">
      <c r="B368" s="40"/>
      <c r="C368" s="40"/>
      <c r="D368" s="40"/>
      <c r="E368" s="40"/>
      <c r="F368" s="40"/>
      <c r="G368" s="40"/>
      <c r="H368" s="40"/>
      <c r="I368" s="40"/>
      <c r="J368" s="40"/>
      <c r="K368" s="40"/>
    </row>
    <row r="369" spans="2:11" s="33" customFormat="1" x14ac:dyDescent="0.25">
      <c r="B369" s="40"/>
      <c r="C369" s="40"/>
      <c r="D369" s="40"/>
      <c r="E369" s="40"/>
      <c r="F369" s="40"/>
      <c r="G369" s="40"/>
      <c r="H369" s="40"/>
      <c r="I369" s="40"/>
      <c r="J369" s="40"/>
      <c r="K369" s="40"/>
    </row>
    <row r="370" spans="2:11" s="33" customFormat="1" x14ac:dyDescent="0.25">
      <c r="B370" s="40"/>
      <c r="C370" s="40"/>
      <c r="D370" s="40"/>
      <c r="E370" s="40"/>
      <c r="F370" s="40"/>
      <c r="G370" s="40"/>
      <c r="H370" s="40"/>
      <c r="I370" s="40"/>
      <c r="J370" s="40"/>
      <c r="K370" s="40"/>
    </row>
    <row r="371" spans="2:11" s="33" customFormat="1" x14ac:dyDescent="0.25">
      <c r="B371" s="40"/>
      <c r="C371" s="40"/>
      <c r="D371" s="40"/>
      <c r="E371" s="40"/>
      <c r="F371" s="40"/>
      <c r="G371" s="40"/>
      <c r="H371" s="40"/>
      <c r="I371" s="40"/>
      <c r="J371" s="40"/>
      <c r="K371" s="40"/>
    </row>
    <row r="372" spans="2:11" s="33" customFormat="1" x14ac:dyDescent="0.25">
      <c r="B372" s="40"/>
      <c r="C372" s="40"/>
      <c r="D372" s="40"/>
      <c r="E372" s="40"/>
      <c r="F372" s="40"/>
      <c r="G372" s="40"/>
      <c r="H372" s="40"/>
      <c r="I372" s="40"/>
      <c r="J372" s="40"/>
      <c r="K372" s="40"/>
    </row>
    <row r="373" spans="2:11" s="33" customFormat="1" x14ac:dyDescent="0.25">
      <c r="B373" s="40"/>
      <c r="C373" s="40"/>
      <c r="D373" s="40"/>
      <c r="E373" s="40"/>
      <c r="F373" s="40"/>
      <c r="G373" s="40"/>
      <c r="H373" s="40"/>
      <c r="I373" s="40"/>
      <c r="J373" s="40"/>
      <c r="K373" s="40"/>
    </row>
    <row r="374" spans="2:11" s="33" customFormat="1" x14ac:dyDescent="0.25">
      <c r="B374" s="40"/>
      <c r="C374" s="40"/>
      <c r="D374" s="40"/>
      <c r="E374" s="40"/>
      <c r="F374" s="40"/>
      <c r="G374" s="40"/>
      <c r="H374" s="40"/>
      <c r="I374" s="40"/>
      <c r="J374" s="40"/>
      <c r="K374" s="40"/>
    </row>
    <row r="375" spans="2:11" s="33" customFormat="1" x14ac:dyDescent="0.25">
      <c r="B375" s="40"/>
      <c r="C375" s="40"/>
      <c r="D375" s="40"/>
      <c r="E375" s="40"/>
      <c r="F375" s="40"/>
      <c r="G375" s="40"/>
      <c r="H375" s="40"/>
      <c r="I375" s="40"/>
      <c r="J375" s="40"/>
      <c r="K375" s="40"/>
    </row>
    <row r="376" spans="2:11" s="33" customFormat="1" x14ac:dyDescent="0.25">
      <c r="B376" s="40"/>
      <c r="C376" s="40"/>
      <c r="D376" s="40"/>
      <c r="E376" s="40"/>
      <c r="F376" s="40"/>
      <c r="G376" s="40"/>
      <c r="H376" s="40"/>
      <c r="I376" s="40"/>
      <c r="J376" s="40"/>
      <c r="K376" s="40"/>
    </row>
    <row r="377" spans="2:11" s="33" customFormat="1" x14ac:dyDescent="0.25">
      <c r="B377" s="40"/>
      <c r="C377" s="40"/>
      <c r="D377" s="40"/>
      <c r="E377" s="40"/>
      <c r="F377" s="40"/>
      <c r="G377" s="40"/>
      <c r="H377" s="40"/>
      <c r="I377" s="40"/>
      <c r="J377" s="40"/>
      <c r="K377" s="40"/>
    </row>
    <row r="378" spans="2:11" s="33" customFormat="1" x14ac:dyDescent="0.25">
      <c r="B378" s="40"/>
      <c r="C378" s="40"/>
      <c r="D378" s="40"/>
      <c r="E378" s="40"/>
      <c r="F378" s="40"/>
      <c r="G378" s="40"/>
      <c r="H378" s="40"/>
      <c r="I378" s="40"/>
      <c r="J378" s="40"/>
      <c r="K378" s="40"/>
    </row>
    <row r="379" spans="2:11" s="33" customFormat="1" x14ac:dyDescent="0.25">
      <c r="B379" s="40"/>
      <c r="C379" s="40"/>
      <c r="D379" s="40"/>
      <c r="E379" s="40"/>
      <c r="F379" s="40"/>
      <c r="G379" s="40"/>
      <c r="H379" s="40"/>
      <c r="I379" s="40"/>
      <c r="J379" s="40"/>
      <c r="K379" s="40"/>
    </row>
    <row r="380" spans="2:11" s="33" customFormat="1" x14ac:dyDescent="0.25">
      <c r="B380" s="40"/>
      <c r="C380" s="40"/>
      <c r="D380" s="40"/>
      <c r="E380" s="40"/>
      <c r="F380" s="40"/>
      <c r="G380" s="40"/>
      <c r="H380" s="40"/>
      <c r="I380" s="40"/>
      <c r="J380" s="40"/>
      <c r="K380" s="40"/>
    </row>
    <row r="381" spans="2:11" s="33" customFormat="1" x14ac:dyDescent="0.25">
      <c r="B381" s="40"/>
      <c r="C381" s="40"/>
      <c r="D381" s="40"/>
      <c r="E381" s="40"/>
      <c r="F381" s="40"/>
      <c r="G381" s="40"/>
      <c r="H381" s="40"/>
      <c r="I381" s="40"/>
      <c r="J381" s="40"/>
      <c r="K381" s="40"/>
    </row>
    <row r="382" spans="2:11" s="33" customFormat="1" x14ac:dyDescent="0.25">
      <c r="B382" s="40"/>
      <c r="C382" s="40"/>
      <c r="D382" s="40"/>
      <c r="E382" s="40"/>
      <c r="F382" s="40"/>
      <c r="G382" s="40"/>
      <c r="H382" s="40"/>
      <c r="I382" s="40"/>
      <c r="J382" s="40"/>
      <c r="K382" s="40"/>
    </row>
    <row r="383" spans="2:11" s="33" customFormat="1" x14ac:dyDescent="0.25">
      <c r="B383" s="40"/>
      <c r="C383" s="40"/>
      <c r="D383" s="40"/>
      <c r="E383" s="40"/>
      <c r="F383" s="40"/>
      <c r="G383" s="40"/>
      <c r="H383" s="40"/>
      <c r="I383" s="40"/>
      <c r="J383" s="40"/>
      <c r="K383" s="40"/>
    </row>
    <row r="384" spans="2:11" s="33" customFormat="1" x14ac:dyDescent="0.25">
      <c r="B384" s="40"/>
      <c r="C384" s="40"/>
      <c r="D384" s="40"/>
      <c r="E384" s="40"/>
      <c r="F384" s="40"/>
      <c r="G384" s="40"/>
      <c r="H384" s="40"/>
      <c r="I384" s="40"/>
      <c r="J384" s="40"/>
      <c r="K384" s="40"/>
    </row>
    <row r="385" spans="2:11" s="33" customFormat="1" x14ac:dyDescent="0.25">
      <c r="B385" s="40"/>
      <c r="C385" s="40"/>
      <c r="D385" s="40"/>
      <c r="E385" s="40"/>
      <c r="F385" s="40"/>
      <c r="G385" s="40"/>
      <c r="H385" s="40"/>
      <c r="I385" s="40"/>
      <c r="J385" s="40"/>
      <c r="K385" s="40"/>
    </row>
    <row r="386" spans="2:11" s="33" customFormat="1" x14ac:dyDescent="0.25">
      <c r="B386" s="40"/>
      <c r="C386" s="40"/>
      <c r="D386" s="40"/>
      <c r="E386" s="40"/>
      <c r="F386" s="40"/>
      <c r="G386" s="40"/>
      <c r="H386" s="40"/>
      <c r="I386" s="40"/>
      <c r="J386" s="40"/>
      <c r="K386" s="40"/>
    </row>
    <row r="387" spans="2:11" s="33" customFormat="1" x14ac:dyDescent="0.25">
      <c r="B387" s="40"/>
      <c r="C387" s="40"/>
      <c r="D387" s="40"/>
      <c r="E387" s="40"/>
      <c r="F387" s="40"/>
      <c r="G387" s="40"/>
      <c r="H387" s="40"/>
      <c r="I387" s="40"/>
      <c r="J387" s="40"/>
      <c r="K387" s="40"/>
    </row>
    <row r="388" spans="2:11" s="33" customFormat="1" x14ac:dyDescent="0.25">
      <c r="B388" s="40"/>
      <c r="C388" s="40"/>
      <c r="D388" s="40"/>
      <c r="E388" s="40"/>
      <c r="F388" s="40"/>
      <c r="G388" s="40"/>
      <c r="H388" s="40"/>
      <c r="I388" s="40"/>
      <c r="J388" s="40"/>
      <c r="K388" s="40"/>
    </row>
    <row r="389" spans="2:11" s="33" customFormat="1" x14ac:dyDescent="0.25">
      <c r="B389" s="40"/>
      <c r="C389" s="40"/>
      <c r="D389" s="40"/>
      <c r="E389" s="40"/>
      <c r="F389" s="40"/>
      <c r="G389" s="40"/>
      <c r="H389" s="40"/>
      <c r="I389" s="40"/>
      <c r="J389" s="40"/>
      <c r="K389" s="40"/>
    </row>
    <row r="390" spans="2:11" s="33" customFormat="1" x14ac:dyDescent="0.25">
      <c r="B390" s="40"/>
      <c r="C390" s="40"/>
      <c r="D390" s="40"/>
      <c r="E390" s="40"/>
      <c r="F390" s="40"/>
      <c r="G390" s="40"/>
      <c r="H390" s="40"/>
      <c r="I390" s="40"/>
      <c r="J390" s="40"/>
      <c r="K390" s="40"/>
    </row>
    <row r="391" spans="2:11" s="33" customFormat="1" x14ac:dyDescent="0.25">
      <c r="B391" s="40"/>
      <c r="C391" s="40"/>
      <c r="D391" s="40"/>
      <c r="E391" s="40"/>
      <c r="F391" s="40"/>
      <c r="G391" s="40"/>
      <c r="H391" s="40"/>
      <c r="I391" s="40"/>
      <c r="J391" s="40"/>
      <c r="K391" s="40"/>
    </row>
    <row r="392" spans="2:11" s="33" customFormat="1" x14ac:dyDescent="0.25">
      <c r="B392" s="40"/>
      <c r="C392" s="40"/>
      <c r="D392" s="40"/>
      <c r="E392" s="40"/>
      <c r="F392" s="40"/>
      <c r="G392" s="40"/>
      <c r="H392" s="40"/>
      <c r="I392" s="40"/>
      <c r="J392" s="40"/>
      <c r="K392" s="40"/>
    </row>
    <row r="393" spans="2:11" s="33" customFormat="1" x14ac:dyDescent="0.25">
      <c r="B393" s="40"/>
      <c r="C393" s="40"/>
      <c r="D393" s="40"/>
      <c r="E393" s="40"/>
      <c r="F393" s="40"/>
      <c r="G393" s="40"/>
      <c r="H393" s="40"/>
      <c r="I393" s="40"/>
      <c r="J393" s="40"/>
      <c r="K393" s="40"/>
    </row>
    <row r="394" spans="2:11" s="33" customFormat="1" x14ac:dyDescent="0.25">
      <c r="B394" s="40"/>
      <c r="C394" s="40"/>
      <c r="D394" s="40"/>
      <c r="E394" s="40"/>
      <c r="F394" s="40"/>
      <c r="G394" s="40"/>
      <c r="H394" s="40"/>
      <c r="I394" s="40"/>
      <c r="J394" s="40"/>
      <c r="K394" s="40"/>
    </row>
    <row r="395" spans="2:11" s="33" customFormat="1" x14ac:dyDescent="0.25">
      <c r="B395" s="40"/>
      <c r="C395" s="40"/>
      <c r="D395" s="40"/>
      <c r="E395" s="40"/>
      <c r="F395" s="40"/>
      <c r="G395" s="40"/>
      <c r="H395" s="40"/>
      <c r="I395" s="40"/>
      <c r="J395" s="40"/>
      <c r="K395" s="40"/>
    </row>
    <row r="396" spans="2:11" s="33" customFormat="1" x14ac:dyDescent="0.25">
      <c r="B396" s="40"/>
      <c r="C396" s="40"/>
      <c r="D396" s="40"/>
      <c r="E396" s="40"/>
      <c r="F396" s="40"/>
      <c r="G396" s="40"/>
      <c r="H396" s="40"/>
      <c r="I396" s="40"/>
      <c r="J396" s="40"/>
      <c r="K396" s="40"/>
    </row>
    <row r="397" spans="2:11" s="33" customFormat="1" x14ac:dyDescent="0.25">
      <c r="B397" s="40"/>
      <c r="C397" s="40"/>
      <c r="D397" s="40"/>
      <c r="E397" s="40"/>
      <c r="F397" s="40"/>
      <c r="G397" s="40"/>
      <c r="H397" s="40"/>
      <c r="I397" s="40"/>
      <c r="J397" s="40"/>
      <c r="K397" s="40"/>
    </row>
    <row r="398" spans="2:11" s="33" customFormat="1" x14ac:dyDescent="0.25">
      <c r="B398" s="40"/>
      <c r="C398" s="40"/>
      <c r="D398" s="40"/>
      <c r="E398" s="40"/>
      <c r="F398" s="40"/>
      <c r="G398" s="40"/>
      <c r="H398" s="40"/>
      <c r="I398" s="40"/>
      <c r="J398" s="40"/>
      <c r="K398" s="40"/>
    </row>
    <row r="399" spans="2:11" s="33" customFormat="1" x14ac:dyDescent="0.25">
      <c r="B399" s="40"/>
      <c r="C399" s="40"/>
      <c r="D399" s="40"/>
      <c r="E399" s="40"/>
      <c r="F399" s="40"/>
      <c r="G399" s="40"/>
      <c r="H399" s="40"/>
      <c r="I399" s="40"/>
      <c r="J399" s="40"/>
      <c r="K399" s="40"/>
    </row>
    <row r="400" spans="2:11" s="33" customFormat="1" x14ac:dyDescent="0.25">
      <c r="B400" s="40"/>
      <c r="C400" s="40"/>
      <c r="D400" s="40"/>
      <c r="E400" s="40"/>
      <c r="F400" s="40"/>
      <c r="G400" s="40"/>
      <c r="H400" s="40"/>
      <c r="I400" s="40"/>
      <c r="J400" s="40"/>
      <c r="K400" s="40"/>
    </row>
    <row r="401" spans="2:11" s="33" customFormat="1" x14ac:dyDescent="0.25">
      <c r="B401" s="40"/>
      <c r="C401" s="40"/>
      <c r="D401" s="40"/>
      <c r="E401" s="40"/>
      <c r="F401" s="40"/>
      <c r="G401" s="40"/>
      <c r="H401" s="40"/>
      <c r="I401" s="40"/>
      <c r="J401" s="40"/>
      <c r="K401" s="40"/>
    </row>
    <row r="402" spans="2:11" s="33" customFormat="1" x14ac:dyDescent="0.25">
      <c r="B402" s="40"/>
      <c r="C402" s="40"/>
      <c r="D402" s="40"/>
      <c r="E402" s="40"/>
      <c r="F402" s="40"/>
      <c r="G402" s="40"/>
      <c r="H402" s="40"/>
      <c r="I402" s="40"/>
      <c r="J402" s="40"/>
      <c r="K402" s="40"/>
    </row>
    <row r="403" spans="2:11" s="33" customFormat="1" x14ac:dyDescent="0.25">
      <c r="B403" s="40"/>
      <c r="C403" s="40"/>
      <c r="D403" s="40"/>
      <c r="E403" s="40"/>
      <c r="F403" s="40"/>
      <c r="G403" s="40"/>
      <c r="H403" s="40"/>
      <c r="I403" s="40"/>
      <c r="J403" s="40"/>
      <c r="K403" s="40"/>
    </row>
    <row r="404" spans="2:11" s="33" customFormat="1" x14ac:dyDescent="0.25">
      <c r="B404" s="40"/>
      <c r="C404" s="40"/>
      <c r="D404" s="40"/>
      <c r="E404" s="40"/>
      <c r="F404" s="40"/>
      <c r="G404" s="40"/>
      <c r="H404" s="40"/>
      <c r="I404" s="40"/>
      <c r="J404" s="40"/>
      <c r="K404" s="40"/>
    </row>
    <row r="405" spans="2:11" s="33" customFormat="1" x14ac:dyDescent="0.25">
      <c r="B405" s="40"/>
      <c r="C405" s="40"/>
      <c r="D405" s="40"/>
      <c r="E405" s="40"/>
      <c r="F405" s="40"/>
      <c r="G405" s="40"/>
      <c r="H405" s="40"/>
      <c r="I405" s="40"/>
      <c r="J405" s="40"/>
      <c r="K405" s="40"/>
    </row>
    <row r="406" spans="2:11" s="33" customFormat="1" x14ac:dyDescent="0.25">
      <c r="B406" s="40"/>
      <c r="C406" s="40"/>
      <c r="D406" s="40"/>
      <c r="E406" s="40"/>
      <c r="F406" s="40"/>
      <c r="G406" s="40"/>
      <c r="H406" s="40"/>
      <c r="I406" s="40"/>
      <c r="J406" s="40"/>
      <c r="K406" s="40"/>
    </row>
    <row r="407" spans="2:11" s="33" customFormat="1" x14ac:dyDescent="0.25">
      <c r="B407" s="40"/>
      <c r="C407" s="40"/>
      <c r="D407" s="40"/>
      <c r="E407" s="40"/>
      <c r="F407" s="40"/>
      <c r="G407" s="40"/>
      <c r="H407" s="40"/>
      <c r="I407" s="40"/>
      <c r="J407" s="40"/>
      <c r="K407" s="40"/>
    </row>
    <row r="408" spans="2:11" s="33" customFormat="1" x14ac:dyDescent="0.25">
      <c r="B408" s="40"/>
      <c r="C408" s="40"/>
      <c r="D408" s="40"/>
      <c r="E408" s="40"/>
      <c r="F408" s="40"/>
      <c r="G408" s="40"/>
      <c r="H408" s="40"/>
      <c r="I408" s="40"/>
      <c r="J408" s="40"/>
      <c r="K408" s="40"/>
    </row>
    <row r="409" spans="2:11" s="33" customFormat="1" x14ac:dyDescent="0.25">
      <c r="B409" s="40"/>
      <c r="C409" s="40"/>
      <c r="D409" s="40"/>
      <c r="E409" s="40"/>
      <c r="F409" s="40"/>
      <c r="G409" s="40"/>
      <c r="H409" s="40"/>
      <c r="I409" s="40"/>
      <c r="J409" s="40"/>
      <c r="K409" s="40"/>
    </row>
    <row r="410" spans="2:11" s="33" customFormat="1" x14ac:dyDescent="0.25">
      <c r="B410" s="40"/>
      <c r="C410" s="40"/>
      <c r="D410" s="40"/>
      <c r="E410" s="40"/>
      <c r="F410" s="40"/>
      <c r="G410" s="40"/>
      <c r="H410" s="40"/>
      <c r="I410" s="40"/>
      <c r="J410" s="40"/>
      <c r="K410" s="40"/>
    </row>
    <row r="411" spans="2:11" s="33" customFormat="1" x14ac:dyDescent="0.25">
      <c r="B411" s="40"/>
      <c r="C411" s="40"/>
      <c r="D411" s="40"/>
      <c r="E411" s="40"/>
      <c r="F411" s="40"/>
      <c r="G411" s="40"/>
      <c r="H411" s="40"/>
      <c r="I411" s="40"/>
      <c r="J411" s="40"/>
      <c r="K411" s="40"/>
    </row>
    <row r="412" spans="2:11" s="33" customFormat="1" x14ac:dyDescent="0.25">
      <c r="B412" s="40"/>
      <c r="C412" s="40"/>
      <c r="D412" s="40"/>
      <c r="E412" s="40"/>
      <c r="F412" s="40"/>
      <c r="G412" s="40"/>
      <c r="H412" s="40"/>
      <c r="I412" s="40"/>
      <c r="J412" s="40"/>
      <c r="K412" s="40"/>
    </row>
    <row r="413" spans="2:11" s="33" customFormat="1" x14ac:dyDescent="0.25">
      <c r="B413" s="40"/>
      <c r="C413" s="40"/>
      <c r="D413" s="40"/>
      <c r="E413" s="40"/>
      <c r="F413" s="40"/>
      <c r="G413" s="40"/>
      <c r="H413" s="40"/>
      <c r="I413" s="40"/>
      <c r="J413" s="40"/>
      <c r="K413" s="40"/>
    </row>
    <row r="414" spans="2:11" s="33" customFormat="1" x14ac:dyDescent="0.25">
      <c r="B414" s="40"/>
      <c r="C414" s="40"/>
      <c r="D414" s="40"/>
      <c r="E414" s="40"/>
      <c r="F414" s="40"/>
      <c r="G414" s="40"/>
      <c r="H414" s="40"/>
      <c r="I414" s="40"/>
      <c r="J414" s="40"/>
      <c r="K414" s="40"/>
    </row>
    <row r="415" spans="2:11" s="33" customFormat="1" x14ac:dyDescent="0.25">
      <c r="B415" s="40"/>
      <c r="C415" s="40"/>
      <c r="D415" s="40"/>
      <c r="E415" s="40"/>
      <c r="F415" s="40"/>
      <c r="G415" s="40"/>
      <c r="H415" s="40"/>
      <c r="I415" s="40"/>
      <c r="J415" s="40"/>
      <c r="K415" s="40"/>
    </row>
    <row r="416" spans="2:11" s="33" customFormat="1" x14ac:dyDescent="0.25">
      <c r="B416" s="40"/>
      <c r="C416" s="40"/>
      <c r="D416" s="40"/>
      <c r="E416" s="40"/>
      <c r="F416" s="40"/>
      <c r="G416" s="40"/>
      <c r="H416" s="40"/>
      <c r="I416" s="40"/>
      <c r="J416" s="40"/>
      <c r="K416" s="40"/>
    </row>
    <row r="417" spans="2:11" s="33" customFormat="1" x14ac:dyDescent="0.25">
      <c r="B417" s="40"/>
      <c r="C417" s="40"/>
      <c r="D417" s="40"/>
      <c r="E417" s="40"/>
      <c r="F417" s="40"/>
      <c r="G417" s="40"/>
      <c r="H417" s="40"/>
      <c r="I417" s="40"/>
      <c r="J417" s="40"/>
      <c r="K417" s="40"/>
    </row>
    <row r="418" spans="2:11" s="33" customFormat="1" x14ac:dyDescent="0.25">
      <c r="B418" s="40"/>
      <c r="C418" s="40"/>
      <c r="D418" s="40"/>
      <c r="E418" s="40"/>
      <c r="F418" s="40"/>
      <c r="G418" s="40"/>
      <c r="H418" s="40"/>
      <c r="I418" s="40"/>
      <c r="J418" s="40"/>
      <c r="K418" s="40"/>
    </row>
    <row r="419" spans="2:11" s="33" customFormat="1" x14ac:dyDescent="0.25">
      <c r="B419" s="40"/>
      <c r="C419" s="40"/>
      <c r="D419" s="40"/>
      <c r="E419" s="40"/>
      <c r="F419" s="40"/>
      <c r="G419" s="40"/>
      <c r="H419" s="40"/>
      <c r="I419" s="40"/>
      <c r="J419" s="40"/>
      <c r="K419" s="40"/>
    </row>
    <row r="420" spans="2:11" s="33" customFormat="1" x14ac:dyDescent="0.25">
      <c r="B420" s="40"/>
      <c r="C420" s="40"/>
      <c r="D420" s="40"/>
      <c r="E420" s="40"/>
      <c r="F420" s="40"/>
      <c r="G420" s="40"/>
      <c r="H420" s="40"/>
      <c r="I420" s="40"/>
      <c r="J420" s="40"/>
      <c r="K420" s="40"/>
    </row>
    <row r="421" spans="2:11" s="33" customFormat="1" x14ac:dyDescent="0.25">
      <c r="B421" s="40"/>
      <c r="C421" s="40"/>
      <c r="D421" s="40"/>
      <c r="E421" s="40"/>
      <c r="F421" s="40"/>
      <c r="G421" s="40"/>
      <c r="H421" s="40"/>
      <c r="I421" s="40"/>
      <c r="J421" s="40"/>
      <c r="K421" s="40"/>
    </row>
    <row r="422" spans="2:11" s="33" customFormat="1" x14ac:dyDescent="0.25">
      <c r="B422" s="40"/>
      <c r="C422" s="40"/>
      <c r="D422" s="40"/>
      <c r="E422" s="40"/>
      <c r="F422" s="40"/>
      <c r="G422" s="40"/>
      <c r="H422" s="40"/>
      <c r="I422" s="40"/>
      <c r="J422" s="40"/>
      <c r="K422" s="40"/>
    </row>
    <row r="423" spans="2:11" s="33" customFormat="1" x14ac:dyDescent="0.25">
      <c r="B423" s="40"/>
      <c r="C423" s="40"/>
      <c r="D423" s="40"/>
      <c r="E423" s="40"/>
      <c r="F423" s="40"/>
      <c r="G423" s="40"/>
      <c r="H423" s="40"/>
      <c r="I423" s="40"/>
      <c r="J423" s="40"/>
      <c r="K423" s="40"/>
    </row>
    <row r="424" spans="2:11" s="33" customFormat="1" x14ac:dyDescent="0.25">
      <c r="B424" s="40"/>
      <c r="C424" s="40"/>
      <c r="D424" s="40"/>
      <c r="E424" s="40"/>
      <c r="F424" s="40"/>
      <c r="G424" s="40"/>
      <c r="H424" s="40"/>
      <c r="I424" s="40"/>
      <c r="J424" s="40"/>
      <c r="K424" s="40"/>
    </row>
    <row r="425" spans="2:11" s="33" customFormat="1" x14ac:dyDescent="0.25">
      <c r="B425" s="40"/>
      <c r="C425" s="40"/>
      <c r="D425" s="40"/>
      <c r="E425" s="40"/>
      <c r="F425" s="40"/>
      <c r="G425" s="40"/>
      <c r="H425" s="40"/>
      <c r="I425" s="40"/>
      <c r="J425" s="40"/>
      <c r="K425" s="40"/>
    </row>
    <row r="426" spans="2:11" s="33" customFormat="1" x14ac:dyDescent="0.25">
      <c r="B426" s="40"/>
      <c r="C426" s="40"/>
      <c r="D426" s="40"/>
      <c r="E426" s="40"/>
      <c r="F426" s="40"/>
      <c r="G426" s="40"/>
      <c r="H426" s="40"/>
      <c r="I426" s="40"/>
      <c r="J426" s="40"/>
      <c r="K426" s="40"/>
    </row>
    <row r="427" spans="2:11" s="33" customFormat="1" x14ac:dyDescent="0.25">
      <c r="B427" s="40"/>
      <c r="C427" s="40"/>
      <c r="D427" s="40"/>
      <c r="E427" s="40"/>
      <c r="F427" s="40"/>
      <c r="G427" s="40"/>
      <c r="H427" s="40"/>
      <c r="I427" s="40"/>
      <c r="J427" s="40"/>
      <c r="K427" s="40"/>
    </row>
    <row r="428" spans="2:11" s="33" customFormat="1" x14ac:dyDescent="0.25">
      <c r="B428" s="40"/>
      <c r="C428" s="40"/>
      <c r="D428" s="40"/>
      <c r="E428" s="40"/>
      <c r="F428" s="40"/>
      <c r="G428" s="40"/>
      <c r="H428" s="40"/>
      <c r="I428" s="40"/>
      <c r="J428" s="40"/>
      <c r="K428" s="40"/>
    </row>
    <row r="429" spans="2:11" s="33" customFormat="1" x14ac:dyDescent="0.25">
      <c r="B429" s="40"/>
      <c r="C429" s="40"/>
      <c r="D429" s="40"/>
      <c r="E429" s="40"/>
      <c r="F429" s="40"/>
      <c r="G429" s="40"/>
      <c r="H429" s="40"/>
      <c r="I429" s="40"/>
      <c r="J429" s="40"/>
      <c r="K429" s="40"/>
    </row>
    <row r="430" spans="2:11" s="33" customFormat="1" x14ac:dyDescent="0.25">
      <c r="B430" s="40"/>
      <c r="C430" s="40"/>
      <c r="D430" s="40"/>
      <c r="E430" s="40"/>
      <c r="F430" s="40"/>
      <c r="G430" s="40"/>
      <c r="H430" s="40"/>
      <c r="I430" s="40"/>
      <c r="J430" s="40"/>
      <c r="K430" s="40"/>
    </row>
    <row r="431" spans="2:11" s="33" customFormat="1" x14ac:dyDescent="0.25">
      <c r="B431" s="40"/>
      <c r="C431" s="40"/>
      <c r="D431" s="40"/>
      <c r="E431" s="40"/>
      <c r="F431" s="40"/>
      <c r="G431" s="40"/>
      <c r="H431" s="40"/>
      <c r="I431" s="40"/>
      <c r="J431" s="40"/>
      <c r="K431" s="40"/>
    </row>
    <row r="432" spans="2:11" s="33" customFormat="1" x14ac:dyDescent="0.25">
      <c r="B432" s="40"/>
      <c r="C432" s="40"/>
      <c r="D432" s="40"/>
      <c r="E432" s="40"/>
      <c r="F432" s="40"/>
      <c r="G432" s="40"/>
      <c r="H432" s="40"/>
      <c r="I432" s="40"/>
      <c r="J432" s="40"/>
      <c r="K432" s="40"/>
    </row>
    <row r="433" spans="2:11" s="33" customFormat="1" x14ac:dyDescent="0.25">
      <c r="B433" s="40"/>
      <c r="C433" s="40"/>
      <c r="D433" s="40"/>
      <c r="E433" s="40"/>
      <c r="F433" s="40"/>
      <c r="G433" s="40"/>
      <c r="H433" s="40"/>
      <c r="I433" s="40"/>
      <c r="J433" s="40"/>
      <c r="K433" s="40"/>
    </row>
    <row r="434" spans="2:11" s="33" customFormat="1" x14ac:dyDescent="0.25">
      <c r="B434" s="40"/>
      <c r="C434" s="40"/>
      <c r="D434" s="40"/>
      <c r="E434" s="40"/>
      <c r="F434" s="40"/>
      <c r="G434" s="40"/>
      <c r="H434" s="40"/>
      <c r="I434" s="40"/>
      <c r="J434" s="40"/>
      <c r="K434" s="40"/>
    </row>
    <row r="435" spans="2:11" s="33" customFormat="1" x14ac:dyDescent="0.25">
      <c r="B435" s="40"/>
      <c r="C435" s="40"/>
      <c r="D435" s="40"/>
      <c r="E435" s="40"/>
      <c r="F435" s="40"/>
      <c r="G435" s="40"/>
      <c r="H435" s="40"/>
      <c r="I435" s="40"/>
      <c r="J435" s="40"/>
      <c r="K435" s="40"/>
    </row>
    <row r="436" spans="2:11" s="33" customFormat="1" x14ac:dyDescent="0.25">
      <c r="B436" s="40"/>
      <c r="C436" s="40"/>
      <c r="D436" s="40"/>
      <c r="E436" s="40"/>
      <c r="F436" s="40"/>
      <c r="G436" s="40"/>
      <c r="H436" s="40"/>
      <c r="I436" s="40"/>
      <c r="J436" s="40"/>
      <c r="K436" s="40"/>
    </row>
    <row r="437" spans="2:11" s="33" customFormat="1" x14ac:dyDescent="0.25">
      <c r="B437" s="40"/>
      <c r="C437" s="40"/>
      <c r="D437" s="40"/>
      <c r="E437" s="40"/>
      <c r="F437" s="40"/>
      <c r="G437" s="40"/>
      <c r="H437" s="40"/>
      <c r="I437" s="40"/>
      <c r="J437" s="40"/>
      <c r="K437" s="40"/>
    </row>
    <row r="438" spans="2:11" s="33" customFormat="1" x14ac:dyDescent="0.25">
      <c r="B438" s="40"/>
      <c r="C438" s="40"/>
      <c r="D438" s="40"/>
      <c r="E438" s="40"/>
      <c r="F438" s="40"/>
      <c r="G438" s="40"/>
      <c r="H438" s="40"/>
      <c r="I438" s="40"/>
      <c r="J438" s="40"/>
      <c r="K438" s="40"/>
    </row>
    <row r="439" spans="2:11" s="33" customFormat="1" x14ac:dyDescent="0.25">
      <c r="B439" s="40"/>
      <c r="C439" s="40"/>
      <c r="D439" s="40"/>
      <c r="E439" s="40"/>
      <c r="F439" s="40"/>
      <c r="G439" s="40"/>
      <c r="H439" s="40"/>
      <c r="I439" s="40"/>
      <c r="J439" s="40"/>
      <c r="K439" s="40"/>
    </row>
    <row r="440" spans="2:11" s="33" customFormat="1" x14ac:dyDescent="0.25">
      <c r="B440" s="40"/>
      <c r="C440" s="40"/>
      <c r="D440" s="40"/>
      <c r="E440" s="40"/>
      <c r="F440" s="40"/>
      <c r="G440" s="40"/>
      <c r="H440" s="40"/>
      <c r="I440" s="40"/>
      <c r="J440" s="40"/>
      <c r="K440" s="40"/>
    </row>
    <row r="441" spans="2:11" s="33" customFormat="1" x14ac:dyDescent="0.25">
      <c r="B441" s="40"/>
      <c r="C441" s="40"/>
      <c r="D441" s="40"/>
      <c r="E441" s="40"/>
      <c r="F441" s="40"/>
      <c r="G441" s="40"/>
      <c r="H441" s="40"/>
      <c r="I441" s="40"/>
      <c r="J441" s="40"/>
      <c r="K441" s="40"/>
    </row>
    <row r="442" spans="2:11" s="33" customFormat="1" x14ac:dyDescent="0.25">
      <c r="B442" s="40"/>
      <c r="C442" s="40"/>
      <c r="D442" s="40"/>
      <c r="E442" s="40"/>
      <c r="F442" s="40"/>
      <c r="G442" s="40"/>
      <c r="H442" s="40"/>
      <c r="I442" s="40"/>
      <c r="J442" s="40"/>
      <c r="K442" s="40"/>
    </row>
    <row r="443" spans="2:11" s="33" customFormat="1" x14ac:dyDescent="0.25">
      <c r="B443" s="40"/>
      <c r="C443" s="40"/>
      <c r="D443" s="40"/>
      <c r="E443" s="40"/>
      <c r="F443" s="40"/>
      <c r="G443" s="40"/>
      <c r="H443" s="40"/>
      <c r="I443" s="40"/>
      <c r="J443" s="40"/>
      <c r="K443" s="40"/>
    </row>
    <row r="444" spans="2:11" s="33" customFormat="1" x14ac:dyDescent="0.25">
      <c r="B444" s="40"/>
      <c r="C444" s="40"/>
      <c r="D444" s="40"/>
      <c r="E444" s="40"/>
      <c r="F444" s="40"/>
      <c r="G444" s="40"/>
      <c r="H444" s="40"/>
      <c r="I444" s="40"/>
      <c r="J444" s="40"/>
      <c r="K444" s="40"/>
    </row>
    <row r="445" spans="2:11" s="33" customFormat="1" x14ac:dyDescent="0.25">
      <c r="B445" s="40"/>
      <c r="C445" s="40"/>
      <c r="D445" s="40"/>
      <c r="E445" s="40"/>
      <c r="F445" s="40"/>
      <c r="G445" s="40"/>
      <c r="H445" s="40"/>
      <c r="I445" s="40"/>
      <c r="J445" s="40"/>
      <c r="K445" s="40"/>
    </row>
    <row r="446" spans="2:11" s="33" customFormat="1" x14ac:dyDescent="0.25">
      <c r="B446" s="40"/>
      <c r="C446" s="40"/>
      <c r="D446" s="40"/>
      <c r="E446" s="40"/>
      <c r="F446" s="40"/>
      <c r="G446" s="40"/>
      <c r="H446" s="40"/>
      <c r="I446" s="40"/>
      <c r="J446" s="40"/>
      <c r="K446" s="40"/>
    </row>
    <row r="447" spans="2:11" s="33" customFormat="1" x14ac:dyDescent="0.25">
      <c r="B447" s="40"/>
      <c r="C447" s="40"/>
      <c r="D447" s="40"/>
      <c r="E447" s="40"/>
      <c r="F447" s="40"/>
      <c r="G447" s="40"/>
      <c r="H447" s="40"/>
      <c r="I447" s="40"/>
      <c r="J447" s="40"/>
      <c r="K447" s="40"/>
    </row>
    <row r="448" spans="2:11" s="33" customFormat="1" x14ac:dyDescent="0.25">
      <c r="B448" s="40"/>
      <c r="C448" s="40"/>
      <c r="D448" s="40"/>
      <c r="E448" s="40"/>
      <c r="F448" s="40"/>
      <c r="G448" s="40"/>
      <c r="H448" s="40"/>
      <c r="I448" s="40"/>
      <c r="J448" s="40"/>
      <c r="K448" s="40"/>
    </row>
    <row r="449" spans="2:11" s="33" customFormat="1" x14ac:dyDescent="0.25">
      <c r="B449" s="40"/>
      <c r="C449" s="40"/>
      <c r="D449" s="40"/>
      <c r="E449" s="40"/>
      <c r="F449" s="40"/>
      <c r="G449" s="40"/>
      <c r="H449" s="40"/>
      <c r="I449" s="40"/>
      <c r="J449" s="40"/>
      <c r="K449" s="40"/>
    </row>
    <row r="450" spans="2:11" s="33" customFormat="1" x14ac:dyDescent="0.25">
      <c r="B450" s="40"/>
      <c r="C450" s="40"/>
      <c r="D450" s="40"/>
      <c r="E450" s="40"/>
      <c r="F450" s="40"/>
      <c r="G450" s="40"/>
      <c r="H450" s="40"/>
      <c r="I450" s="40"/>
      <c r="J450" s="40"/>
      <c r="K450" s="40"/>
    </row>
    <row r="451" spans="2:11" s="33" customFormat="1" x14ac:dyDescent="0.25">
      <c r="B451" s="40"/>
      <c r="C451" s="40"/>
      <c r="D451" s="40"/>
      <c r="E451" s="40"/>
      <c r="F451" s="40"/>
      <c r="G451" s="40"/>
      <c r="H451" s="40"/>
      <c r="I451" s="40"/>
      <c r="J451" s="40"/>
      <c r="K451" s="40"/>
    </row>
    <row r="452" spans="2:11" s="33" customFormat="1" x14ac:dyDescent="0.25">
      <c r="B452" s="40"/>
      <c r="C452" s="40"/>
      <c r="D452" s="40"/>
      <c r="E452" s="40"/>
      <c r="F452" s="40"/>
      <c r="G452" s="40"/>
      <c r="H452" s="40"/>
      <c r="I452" s="40"/>
      <c r="J452" s="40"/>
      <c r="K452" s="40"/>
    </row>
    <row r="453" spans="2:11" s="33" customFormat="1" x14ac:dyDescent="0.25">
      <c r="B453" s="40"/>
      <c r="C453" s="40"/>
      <c r="D453" s="40"/>
      <c r="E453" s="40"/>
      <c r="F453" s="40"/>
      <c r="G453" s="40"/>
      <c r="H453" s="40"/>
      <c r="I453" s="40"/>
      <c r="J453" s="40"/>
      <c r="K453" s="40"/>
    </row>
    <row r="454" spans="2:11" s="33" customFormat="1" x14ac:dyDescent="0.25">
      <c r="B454" s="40"/>
      <c r="C454" s="40"/>
      <c r="D454" s="40"/>
      <c r="E454" s="40"/>
      <c r="F454" s="40"/>
      <c r="G454" s="40"/>
      <c r="H454" s="40"/>
      <c r="I454" s="40"/>
      <c r="J454" s="40"/>
      <c r="K454" s="40"/>
    </row>
    <row r="455" spans="2:11" s="33" customFormat="1" x14ac:dyDescent="0.25">
      <c r="B455" s="40"/>
      <c r="C455" s="40"/>
      <c r="D455" s="40"/>
      <c r="E455" s="40"/>
      <c r="F455" s="40"/>
      <c r="G455" s="40"/>
      <c r="H455" s="40"/>
      <c r="I455" s="40"/>
      <c r="J455" s="40"/>
      <c r="K455" s="40"/>
    </row>
    <row r="456" spans="2:11" s="33" customFormat="1" x14ac:dyDescent="0.25">
      <c r="B456" s="40"/>
      <c r="C456" s="40"/>
      <c r="D456" s="40"/>
      <c r="E456" s="40"/>
      <c r="F456" s="40"/>
      <c r="G456" s="40"/>
      <c r="H456" s="40"/>
      <c r="I456" s="40"/>
      <c r="J456" s="40"/>
      <c r="K456" s="40"/>
    </row>
    <row r="457" spans="2:11" s="33" customFormat="1" x14ac:dyDescent="0.25">
      <c r="B457" s="40"/>
      <c r="C457" s="40"/>
      <c r="D457" s="40"/>
      <c r="E457" s="40"/>
      <c r="F457" s="40"/>
      <c r="G457" s="40"/>
      <c r="H457" s="40"/>
      <c r="I457" s="40"/>
      <c r="J457" s="40"/>
      <c r="K457" s="40"/>
    </row>
    <row r="458" spans="2:11" s="33" customFormat="1" x14ac:dyDescent="0.25">
      <c r="B458" s="40"/>
      <c r="C458" s="40"/>
      <c r="D458" s="40"/>
      <c r="E458" s="40"/>
      <c r="F458" s="40"/>
      <c r="G458" s="40"/>
      <c r="H458" s="40"/>
      <c r="I458" s="40"/>
      <c r="J458" s="40"/>
      <c r="K458" s="40"/>
    </row>
    <row r="459" spans="2:11" s="33" customFormat="1" x14ac:dyDescent="0.25">
      <c r="B459" s="40"/>
      <c r="C459" s="40"/>
      <c r="D459" s="40"/>
      <c r="E459" s="40"/>
      <c r="F459" s="40"/>
      <c r="G459" s="40"/>
      <c r="H459" s="40"/>
      <c r="I459" s="40"/>
      <c r="J459" s="40"/>
      <c r="K459" s="40"/>
    </row>
    <row r="460" spans="2:11" s="33" customFormat="1" x14ac:dyDescent="0.25">
      <c r="B460" s="40"/>
      <c r="C460" s="40"/>
      <c r="D460" s="40"/>
      <c r="E460" s="40"/>
      <c r="F460" s="40"/>
      <c r="G460" s="40"/>
      <c r="H460" s="40"/>
      <c r="I460" s="40"/>
      <c r="J460" s="40"/>
      <c r="K460" s="40"/>
    </row>
    <row r="461" spans="2:11" s="33" customFormat="1" x14ac:dyDescent="0.25">
      <c r="B461" s="40"/>
      <c r="C461" s="40"/>
      <c r="D461" s="40"/>
      <c r="E461" s="40"/>
      <c r="F461" s="40"/>
      <c r="G461" s="40"/>
      <c r="H461" s="40"/>
      <c r="I461" s="40"/>
      <c r="J461" s="40"/>
      <c r="K461" s="40"/>
    </row>
    <row r="462" spans="2:11" s="33" customFormat="1" x14ac:dyDescent="0.25">
      <c r="B462" s="40"/>
      <c r="C462" s="40"/>
      <c r="D462" s="40"/>
      <c r="E462" s="40"/>
      <c r="F462" s="40"/>
      <c r="G462" s="40"/>
      <c r="H462" s="40"/>
      <c r="I462" s="40"/>
      <c r="J462" s="40"/>
      <c r="K462" s="40"/>
    </row>
    <row r="463" spans="2:11" s="33" customFormat="1" x14ac:dyDescent="0.25">
      <c r="B463" s="40"/>
      <c r="C463" s="40"/>
      <c r="D463" s="40"/>
      <c r="E463" s="40"/>
      <c r="F463" s="40"/>
      <c r="G463" s="40"/>
      <c r="H463" s="40"/>
      <c r="I463" s="40"/>
      <c r="J463" s="40"/>
      <c r="K463" s="40"/>
    </row>
    <row r="464" spans="2:11" s="33" customFormat="1" x14ac:dyDescent="0.25">
      <c r="B464" s="40"/>
      <c r="C464" s="40"/>
      <c r="D464" s="40"/>
      <c r="E464" s="40"/>
      <c r="F464" s="40"/>
      <c r="G464" s="40"/>
      <c r="H464" s="40"/>
      <c r="I464" s="40"/>
      <c r="J464" s="40"/>
      <c r="K464" s="40"/>
    </row>
    <row r="465" spans="2:11" s="33" customFormat="1" x14ac:dyDescent="0.25">
      <c r="B465" s="40"/>
      <c r="C465" s="40"/>
      <c r="D465" s="40"/>
      <c r="E465" s="40"/>
      <c r="F465" s="40"/>
      <c r="G465" s="40"/>
      <c r="H465" s="40"/>
      <c r="I465" s="40"/>
      <c r="J465" s="40"/>
      <c r="K465" s="40"/>
    </row>
    <row r="466" spans="2:11" s="33" customFormat="1" x14ac:dyDescent="0.25">
      <c r="B466" s="40"/>
      <c r="C466" s="40"/>
      <c r="D466" s="40"/>
      <c r="E466" s="40"/>
      <c r="F466" s="40"/>
      <c r="G466" s="40"/>
      <c r="H466" s="40"/>
      <c r="I466" s="40"/>
      <c r="J466" s="40"/>
      <c r="K466" s="40"/>
    </row>
    <row r="467" spans="2:11" s="33" customFormat="1" x14ac:dyDescent="0.25">
      <c r="B467" s="40"/>
      <c r="C467" s="40"/>
      <c r="D467" s="40"/>
      <c r="E467" s="40"/>
      <c r="F467" s="40"/>
      <c r="G467" s="40"/>
      <c r="H467" s="40"/>
      <c r="I467" s="40"/>
      <c r="J467" s="40"/>
      <c r="K467" s="40"/>
    </row>
    <row r="468" spans="2:11" s="33" customFormat="1" x14ac:dyDescent="0.25">
      <c r="B468" s="40"/>
      <c r="C468" s="40"/>
      <c r="D468" s="40"/>
      <c r="E468" s="40"/>
      <c r="F468" s="40"/>
      <c r="G468" s="40"/>
      <c r="H468" s="40"/>
      <c r="I468" s="40"/>
      <c r="J468" s="40"/>
      <c r="K468" s="40"/>
    </row>
    <row r="469" spans="2:11" s="33" customFormat="1" x14ac:dyDescent="0.25">
      <c r="B469" s="40"/>
      <c r="C469" s="40"/>
      <c r="D469" s="40"/>
      <c r="E469" s="40"/>
      <c r="F469" s="40"/>
      <c r="G469" s="40"/>
      <c r="H469" s="40"/>
      <c r="I469" s="40"/>
      <c r="J469" s="40"/>
      <c r="K469" s="40"/>
    </row>
    <row r="470" spans="2:11" s="33" customFormat="1" x14ac:dyDescent="0.25">
      <c r="B470" s="40"/>
      <c r="C470" s="40"/>
      <c r="D470" s="40"/>
      <c r="E470" s="40"/>
      <c r="F470" s="40"/>
      <c r="G470" s="40"/>
      <c r="H470" s="40"/>
      <c r="I470" s="40"/>
      <c r="J470" s="40"/>
      <c r="K470" s="40"/>
    </row>
    <row r="471" spans="2:11" s="33" customFormat="1" x14ac:dyDescent="0.25">
      <c r="B471" s="40"/>
      <c r="C471" s="40"/>
      <c r="D471" s="40"/>
      <c r="E471" s="40"/>
      <c r="F471" s="40"/>
      <c r="G471" s="40"/>
      <c r="H471" s="40"/>
      <c r="I471" s="40"/>
      <c r="J471" s="40"/>
      <c r="K471" s="40"/>
    </row>
    <row r="472" spans="2:11" s="33" customFormat="1" x14ac:dyDescent="0.25">
      <c r="B472" s="40"/>
      <c r="C472" s="40"/>
      <c r="D472" s="40"/>
      <c r="E472" s="40"/>
      <c r="F472" s="40"/>
      <c r="G472" s="40"/>
      <c r="H472" s="40"/>
      <c r="I472" s="40"/>
      <c r="J472" s="40"/>
      <c r="K472" s="40"/>
    </row>
    <row r="473" spans="2:11" s="33" customFormat="1" x14ac:dyDescent="0.25">
      <c r="B473" s="40"/>
      <c r="C473" s="40"/>
      <c r="D473" s="40"/>
      <c r="E473" s="40"/>
      <c r="F473" s="40"/>
      <c r="G473" s="40"/>
      <c r="H473" s="40"/>
      <c r="I473" s="40"/>
      <c r="J473" s="40"/>
      <c r="K473" s="40"/>
    </row>
    <row r="474" spans="2:11" s="33" customFormat="1" x14ac:dyDescent="0.25">
      <c r="B474" s="40"/>
      <c r="C474" s="40"/>
      <c r="D474" s="40"/>
      <c r="E474" s="40"/>
      <c r="F474" s="40"/>
      <c r="G474" s="40"/>
      <c r="H474" s="40"/>
      <c r="I474" s="40"/>
      <c r="J474" s="40"/>
      <c r="K474" s="40"/>
    </row>
    <row r="475" spans="2:11" s="33" customFormat="1" x14ac:dyDescent="0.25">
      <c r="B475" s="40"/>
      <c r="C475" s="40"/>
      <c r="D475" s="40"/>
      <c r="E475" s="40"/>
      <c r="F475" s="40"/>
      <c r="G475" s="40"/>
      <c r="H475" s="40"/>
      <c r="I475" s="40"/>
      <c r="J475" s="40"/>
      <c r="K475" s="40"/>
    </row>
    <row r="476" spans="2:11" s="33" customFormat="1" x14ac:dyDescent="0.25">
      <c r="B476" s="40"/>
      <c r="C476" s="40"/>
      <c r="D476" s="40"/>
      <c r="E476" s="40"/>
      <c r="F476" s="40"/>
      <c r="G476" s="40"/>
      <c r="H476" s="40"/>
      <c r="I476" s="40"/>
      <c r="J476" s="40"/>
      <c r="K476" s="40"/>
    </row>
    <row r="477" spans="2:11" s="33" customFormat="1" x14ac:dyDescent="0.25">
      <c r="B477" s="40"/>
      <c r="C477" s="40"/>
      <c r="D477" s="40"/>
      <c r="E477" s="40"/>
      <c r="F477" s="40"/>
      <c r="G477" s="40"/>
      <c r="H477" s="40"/>
      <c r="I477" s="40"/>
      <c r="J477" s="40"/>
      <c r="K477" s="40"/>
    </row>
    <row r="478" spans="2:11" s="33" customFormat="1" x14ac:dyDescent="0.25">
      <c r="B478" s="40"/>
      <c r="C478" s="40"/>
      <c r="D478" s="40"/>
      <c r="E478" s="40"/>
      <c r="F478" s="40"/>
      <c r="G478" s="40"/>
      <c r="H478" s="40"/>
      <c r="I478" s="40"/>
      <c r="J478" s="40"/>
      <c r="K478" s="40"/>
    </row>
    <row r="479" spans="2:11" s="33" customFormat="1" x14ac:dyDescent="0.25">
      <c r="B479" s="40"/>
      <c r="C479" s="40"/>
      <c r="D479" s="40"/>
      <c r="E479" s="40"/>
      <c r="F479" s="40"/>
      <c r="G479" s="40"/>
      <c r="H479" s="40"/>
      <c r="I479" s="40"/>
      <c r="J479" s="40"/>
      <c r="K479" s="40"/>
    </row>
    <row r="480" spans="2:11" s="33" customFormat="1" x14ac:dyDescent="0.25">
      <c r="B480" s="40"/>
      <c r="C480" s="40"/>
      <c r="D480" s="40"/>
      <c r="E480" s="40"/>
      <c r="F480" s="40"/>
      <c r="G480" s="40"/>
      <c r="H480" s="40"/>
      <c r="I480" s="40"/>
      <c r="J480" s="40"/>
      <c r="K480" s="40"/>
    </row>
    <row r="481" spans="2:11" s="33" customFormat="1" x14ac:dyDescent="0.25">
      <c r="B481" s="40"/>
      <c r="C481" s="40"/>
      <c r="D481" s="40"/>
      <c r="E481" s="40"/>
      <c r="F481" s="40"/>
      <c r="G481" s="40"/>
      <c r="H481" s="40"/>
      <c r="I481" s="40"/>
      <c r="J481" s="40"/>
      <c r="K481" s="40"/>
    </row>
    <row r="482" spans="2:11" s="33" customFormat="1" x14ac:dyDescent="0.25">
      <c r="B482" s="40"/>
      <c r="C482" s="40"/>
      <c r="D482" s="40"/>
      <c r="E482" s="40"/>
      <c r="F482" s="40"/>
      <c r="G482" s="40"/>
      <c r="H482" s="40"/>
      <c r="I482" s="40"/>
      <c r="J482" s="40"/>
      <c r="K482" s="40"/>
    </row>
    <row r="483" spans="2:11" s="33" customFormat="1" x14ac:dyDescent="0.25">
      <c r="B483" s="40"/>
      <c r="C483" s="40"/>
      <c r="D483" s="40"/>
      <c r="E483" s="40"/>
      <c r="F483" s="40"/>
      <c r="G483" s="40"/>
      <c r="H483" s="40"/>
      <c r="I483" s="40"/>
      <c r="J483" s="40"/>
      <c r="K483" s="40"/>
    </row>
    <row r="484" spans="2:11" s="33" customFormat="1" x14ac:dyDescent="0.25">
      <c r="B484" s="40"/>
      <c r="C484" s="40"/>
      <c r="D484" s="40"/>
      <c r="E484" s="40"/>
      <c r="F484" s="40"/>
      <c r="G484" s="40"/>
      <c r="H484" s="40"/>
      <c r="I484" s="40"/>
      <c r="J484" s="40"/>
      <c r="K484" s="40"/>
    </row>
    <row r="485" spans="2:11" s="33" customFormat="1" x14ac:dyDescent="0.25">
      <c r="B485" s="40"/>
      <c r="C485" s="40"/>
      <c r="D485" s="40"/>
      <c r="E485" s="40"/>
      <c r="F485" s="40"/>
      <c r="G485" s="40"/>
      <c r="H485" s="40"/>
      <c r="I485" s="40"/>
      <c r="J485" s="40"/>
      <c r="K485" s="40"/>
    </row>
    <row r="486" spans="2:11" s="33" customFormat="1" x14ac:dyDescent="0.25">
      <c r="B486" s="40"/>
      <c r="C486" s="40"/>
      <c r="D486" s="40"/>
      <c r="E486" s="40"/>
      <c r="F486" s="40"/>
      <c r="G486" s="40"/>
      <c r="H486" s="40"/>
      <c r="I486" s="40"/>
      <c r="J486" s="40"/>
      <c r="K486" s="40"/>
    </row>
    <row r="487" spans="2:11" s="33" customFormat="1" x14ac:dyDescent="0.25">
      <c r="B487" s="40"/>
      <c r="C487" s="40"/>
      <c r="D487" s="40"/>
      <c r="E487" s="40"/>
      <c r="F487" s="40"/>
      <c r="G487" s="40"/>
      <c r="H487" s="40"/>
      <c r="I487" s="40"/>
      <c r="J487" s="40"/>
      <c r="K487" s="40"/>
    </row>
    <row r="488" spans="2:11" s="33" customFormat="1" x14ac:dyDescent="0.25">
      <c r="B488" s="40"/>
      <c r="C488" s="40"/>
      <c r="D488" s="40"/>
      <c r="E488" s="40"/>
      <c r="F488" s="40"/>
      <c r="G488" s="40"/>
      <c r="H488" s="40"/>
      <c r="I488" s="40"/>
      <c r="J488" s="40"/>
      <c r="K488" s="40"/>
    </row>
    <row r="489" spans="2:11" s="33" customFormat="1" x14ac:dyDescent="0.25">
      <c r="B489" s="40"/>
      <c r="C489" s="40"/>
      <c r="D489" s="40"/>
      <c r="E489" s="40"/>
      <c r="F489" s="40"/>
      <c r="G489" s="40"/>
      <c r="H489" s="40"/>
      <c r="I489" s="40"/>
      <c r="J489" s="40"/>
      <c r="K489" s="40"/>
    </row>
    <row r="490" spans="2:11" s="33" customFormat="1" x14ac:dyDescent="0.25">
      <c r="B490" s="40"/>
      <c r="C490" s="40"/>
      <c r="D490" s="40"/>
      <c r="E490" s="40"/>
      <c r="F490" s="40"/>
      <c r="G490" s="40"/>
      <c r="H490" s="40"/>
      <c r="I490" s="40"/>
      <c r="J490" s="40"/>
      <c r="K490" s="40"/>
    </row>
    <row r="491" spans="2:11" s="33" customFormat="1" x14ac:dyDescent="0.25">
      <c r="B491" s="40"/>
      <c r="C491" s="40"/>
      <c r="D491" s="40"/>
      <c r="E491" s="40"/>
      <c r="F491" s="40"/>
      <c r="G491" s="40"/>
      <c r="H491" s="40"/>
      <c r="I491" s="40"/>
      <c r="J491" s="40"/>
      <c r="K491" s="40"/>
    </row>
    <row r="492" spans="2:11" s="33" customFormat="1" x14ac:dyDescent="0.25">
      <c r="B492" s="40"/>
      <c r="C492" s="40"/>
      <c r="D492" s="40"/>
      <c r="E492" s="40"/>
      <c r="F492" s="40"/>
      <c r="G492" s="40"/>
      <c r="H492" s="40"/>
      <c r="I492" s="40"/>
      <c r="J492" s="40"/>
      <c r="K492" s="40"/>
    </row>
    <row r="493" spans="2:11" s="33" customFormat="1" x14ac:dyDescent="0.25">
      <c r="B493" s="40"/>
      <c r="C493" s="40"/>
      <c r="D493" s="40"/>
      <c r="E493" s="40"/>
      <c r="F493" s="40"/>
      <c r="G493" s="40"/>
      <c r="H493" s="40"/>
      <c r="I493" s="40"/>
      <c r="J493" s="40"/>
      <c r="K493" s="40"/>
    </row>
    <row r="494" spans="2:11" s="33" customFormat="1" x14ac:dyDescent="0.25">
      <c r="B494" s="40"/>
      <c r="C494" s="40"/>
      <c r="D494" s="40"/>
      <c r="E494" s="40"/>
      <c r="F494" s="40"/>
      <c r="G494" s="40"/>
      <c r="H494" s="40"/>
      <c r="I494" s="40"/>
      <c r="J494" s="40"/>
      <c r="K494" s="40"/>
    </row>
    <row r="495" spans="2:11" s="33" customFormat="1" x14ac:dyDescent="0.25">
      <c r="B495" s="40"/>
      <c r="C495" s="40"/>
      <c r="D495" s="40"/>
      <c r="E495" s="40"/>
      <c r="F495" s="40"/>
      <c r="G495" s="40"/>
      <c r="H495" s="40"/>
      <c r="I495" s="40"/>
      <c r="J495" s="40"/>
      <c r="K495" s="40"/>
    </row>
    <row r="496" spans="2:11" s="33" customFormat="1" x14ac:dyDescent="0.25">
      <c r="B496" s="40"/>
      <c r="C496" s="40"/>
      <c r="D496" s="40"/>
      <c r="E496" s="40"/>
      <c r="F496" s="40"/>
      <c r="G496" s="40"/>
      <c r="H496" s="40"/>
      <c r="I496" s="40"/>
      <c r="J496" s="40"/>
      <c r="K496" s="40"/>
    </row>
    <row r="497" spans="2:11" s="33" customFormat="1" x14ac:dyDescent="0.25">
      <c r="B497" s="40"/>
      <c r="C497" s="40"/>
      <c r="D497" s="40"/>
      <c r="E497" s="40"/>
      <c r="F497" s="40"/>
      <c r="G497" s="40"/>
      <c r="H497" s="40"/>
      <c r="I497" s="40"/>
      <c r="J497" s="40"/>
      <c r="K497" s="40"/>
    </row>
    <row r="498" spans="2:11" s="33" customFormat="1" x14ac:dyDescent="0.25">
      <c r="B498" s="40"/>
      <c r="C498" s="40"/>
      <c r="D498" s="40"/>
      <c r="E498" s="40"/>
      <c r="F498" s="40"/>
      <c r="G498" s="40"/>
      <c r="H498" s="40"/>
      <c r="I498" s="40"/>
      <c r="J498" s="40"/>
      <c r="K498" s="40"/>
    </row>
    <row r="499" spans="2:11" s="33" customFormat="1" x14ac:dyDescent="0.25">
      <c r="B499" s="40"/>
      <c r="C499" s="40"/>
      <c r="D499" s="40"/>
      <c r="E499" s="40"/>
      <c r="F499" s="40"/>
      <c r="G499" s="40"/>
      <c r="H499" s="40"/>
      <c r="I499" s="40"/>
      <c r="J499" s="40"/>
      <c r="K499" s="40"/>
    </row>
    <row r="500" spans="2:11" s="33" customFormat="1" x14ac:dyDescent="0.25">
      <c r="B500" s="40"/>
      <c r="C500" s="40"/>
      <c r="D500" s="40"/>
      <c r="E500" s="40"/>
      <c r="F500" s="40"/>
      <c r="G500" s="40"/>
      <c r="H500" s="40"/>
      <c r="I500" s="40"/>
      <c r="J500" s="40"/>
      <c r="K500" s="40"/>
    </row>
    <row r="501" spans="2:11" s="33" customFormat="1" x14ac:dyDescent="0.25">
      <c r="B501" s="40"/>
      <c r="C501" s="40"/>
      <c r="D501" s="40"/>
      <c r="E501" s="40"/>
      <c r="F501" s="40"/>
      <c r="G501" s="40"/>
      <c r="H501" s="40"/>
      <c r="I501" s="40"/>
      <c r="J501" s="40"/>
      <c r="K501" s="40"/>
    </row>
    <row r="502" spans="2:11" s="33" customFormat="1" x14ac:dyDescent="0.25">
      <c r="B502" s="40"/>
      <c r="C502" s="40"/>
      <c r="D502" s="40"/>
      <c r="E502" s="40"/>
      <c r="F502" s="40"/>
      <c r="G502" s="40"/>
      <c r="H502" s="40"/>
      <c r="I502" s="40"/>
      <c r="J502" s="40"/>
      <c r="K502" s="40"/>
    </row>
    <row r="503" spans="2:11" s="33" customFormat="1" x14ac:dyDescent="0.25">
      <c r="B503" s="40"/>
      <c r="C503" s="40"/>
      <c r="D503" s="40"/>
      <c r="E503" s="40"/>
      <c r="F503" s="40"/>
      <c r="G503" s="40"/>
      <c r="H503" s="40"/>
      <c r="I503" s="40"/>
      <c r="J503" s="40"/>
      <c r="K503" s="40"/>
    </row>
    <row r="504" spans="2:11" s="33" customFormat="1" x14ac:dyDescent="0.25">
      <c r="B504" s="40"/>
      <c r="C504" s="40"/>
      <c r="D504" s="40"/>
      <c r="E504" s="40"/>
      <c r="F504" s="40"/>
      <c r="G504" s="40"/>
      <c r="H504" s="40"/>
      <c r="I504" s="40"/>
      <c r="J504" s="40"/>
      <c r="K504" s="40"/>
    </row>
    <row r="505" spans="2:11" s="33" customFormat="1" x14ac:dyDescent="0.25">
      <c r="B505" s="40"/>
      <c r="C505" s="40"/>
      <c r="D505" s="40"/>
      <c r="E505" s="40"/>
      <c r="F505" s="40"/>
      <c r="G505" s="40"/>
      <c r="H505" s="40"/>
      <c r="I505" s="40"/>
      <c r="J505" s="40"/>
      <c r="K505" s="40"/>
    </row>
    <row r="506" spans="2:11" s="33" customFormat="1" x14ac:dyDescent="0.25">
      <c r="B506" s="40"/>
      <c r="C506" s="40"/>
      <c r="D506" s="40"/>
      <c r="E506" s="40"/>
      <c r="F506" s="40"/>
      <c r="G506" s="40"/>
      <c r="H506" s="40"/>
      <c r="I506" s="40"/>
      <c r="J506" s="40"/>
      <c r="K506" s="40"/>
    </row>
    <row r="507" spans="2:11" s="33" customFormat="1" x14ac:dyDescent="0.25">
      <c r="B507" s="40"/>
      <c r="C507" s="40"/>
      <c r="D507" s="40"/>
      <c r="E507" s="40"/>
      <c r="F507" s="40"/>
      <c r="G507" s="40"/>
      <c r="H507" s="40"/>
      <c r="I507" s="40"/>
      <c r="J507" s="40"/>
      <c r="K507" s="40"/>
    </row>
    <row r="508" spans="2:11" s="33" customFormat="1" x14ac:dyDescent="0.25">
      <c r="B508" s="40"/>
      <c r="C508" s="40"/>
      <c r="D508" s="40"/>
      <c r="E508" s="40"/>
      <c r="F508" s="40"/>
      <c r="G508" s="40"/>
      <c r="H508" s="40"/>
      <c r="I508" s="40"/>
      <c r="J508" s="40"/>
      <c r="K508" s="40"/>
    </row>
    <row r="509" spans="2:11" s="33" customFormat="1" x14ac:dyDescent="0.25">
      <c r="B509" s="40"/>
      <c r="C509" s="40"/>
      <c r="D509" s="40"/>
      <c r="E509" s="40"/>
      <c r="F509" s="40"/>
      <c r="G509" s="40"/>
      <c r="H509" s="40"/>
      <c r="I509" s="40"/>
      <c r="J509" s="40"/>
      <c r="K509" s="40"/>
    </row>
    <row r="510" spans="2:11" s="33" customFormat="1" x14ac:dyDescent="0.25">
      <c r="B510" s="40"/>
      <c r="C510" s="40"/>
      <c r="D510" s="40"/>
      <c r="E510" s="40"/>
      <c r="F510" s="40"/>
      <c r="G510" s="40"/>
      <c r="H510" s="40"/>
      <c r="I510" s="40"/>
      <c r="J510" s="40"/>
      <c r="K510" s="40"/>
    </row>
    <row r="511" spans="2:11" s="33" customFormat="1" x14ac:dyDescent="0.25"/>
    <row r="512" spans="2:11" s="33" customFormat="1" x14ac:dyDescent="0.25"/>
    <row r="513" s="33" customFormat="1" x14ac:dyDescent="0.25"/>
    <row r="514" s="33" customFormat="1" x14ac:dyDescent="0.25"/>
    <row r="515" s="33" customFormat="1" x14ac:dyDescent="0.25"/>
    <row r="516" s="33" customFormat="1" x14ac:dyDescent="0.25"/>
    <row r="517" s="33" customFormat="1" x14ac:dyDescent="0.25"/>
    <row r="518" s="33" customFormat="1" x14ac:dyDescent="0.25"/>
    <row r="519" s="33" customFormat="1" x14ac:dyDescent="0.25"/>
    <row r="520" s="33" customFormat="1" x14ac:dyDescent="0.25"/>
    <row r="521" s="33" customFormat="1" x14ac:dyDescent="0.25"/>
    <row r="522" s="33" customFormat="1" x14ac:dyDescent="0.25"/>
    <row r="523" s="33" customFormat="1" x14ac:dyDescent="0.25"/>
    <row r="524" s="33" customFormat="1" x14ac:dyDescent="0.25"/>
    <row r="525" s="33" customFormat="1" x14ac:dyDescent="0.25"/>
    <row r="526" s="33" customFormat="1" x14ac:dyDescent="0.25"/>
    <row r="527" s="33" customFormat="1" x14ac:dyDescent="0.25"/>
    <row r="528" s="33" customFormat="1" x14ac:dyDescent="0.25"/>
    <row r="529" s="33" customFormat="1" x14ac:dyDescent="0.25"/>
    <row r="530" s="33" customFormat="1" x14ac:dyDescent="0.25"/>
    <row r="531" s="33" customFormat="1" x14ac:dyDescent="0.25"/>
    <row r="532" s="33" customFormat="1" x14ac:dyDescent="0.25"/>
    <row r="533" s="33" customFormat="1" x14ac:dyDescent="0.25"/>
    <row r="534" s="33" customFormat="1" x14ac:dyDescent="0.25"/>
    <row r="535" s="33" customFormat="1" x14ac:dyDescent="0.25"/>
    <row r="536" s="33" customFormat="1" x14ac:dyDescent="0.25"/>
    <row r="537" s="33" customFormat="1" x14ac:dyDescent="0.25"/>
    <row r="538" s="33" customFormat="1" x14ac:dyDescent="0.25"/>
    <row r="539" s="33" customFormat="1" x14ac:dyDescent="0.25"/>
    <row r="540" s="33" customFormat="1" x14ac:dyDescent="0.25"/>
    <row r="541" s="33" customFormat="1" x14ac:dyDescent="0.25"/>
    <row r="542" s="33" customFormat="1" x14ac:dyDescent="0.25"/>
    <row r="543" s="33" customFormat="1" x14ac:dyDescent="0.25"/>
    <row r="544" s="33" customFormat="1" x14ac:dyDescent="0.25"/>
    <row r="545" s="33" customFormat="1" x14ac:dyDescent="0.25"/>
    <row r="546" s="33" customFormat="1" x14ac:dyDescent="0.25"/>
    <row r="547" s="33" customFormat="1" x14ac:dyDescent="0.25"/>
    <row r="548" s="33" customFormat="1" x14ac:dyDescent="0.25"/>
    <row r="549" s="33" customFormat="1" x14ac:dyDescent="0.25"/>
    <row r="550" s="33" customFormat="1" x14ac:dyDescent="0.25"/>
    <row r="551" s="33" customFormat="1" x14ac:dyDescent="0.25"/>
    <row r="552" s="33" customFormat="1" x14ac:dyDescent="0.25"/>
    <row r="553" s="33" customFormat="1" x14ac:dyDescent="0.25"/>
    <row r="554" s="33" customFormat="1" x14ac:dyDescent="0.25"/>
    <row r="555" s="33" customFormat="1" x14ac:dyDescent="0.25"/>
    <row r="556" s="33" customFormat="1" x14ac:dyDescent="0.25"/>
    <row r="557" s="33" customFormat="1" x14ac:dyDescent="0.25"/>
    <row r="558" s="33" customFormat="1" x14ac:dyDescent="0.25"/>
    <row r="559" s="33" customFormat="1" x14ac:dyDescent="0.25"/>
    <row r="560" s="33" customFormat="1" x14ac:dyDescent="0.25"/>
    <row r="561" s="33" customFormat="1" x14ac:dyDescent="0.25"/>
    <row r="562" s="33" customFormat="1" x14ac:dyDescent="0.25"/>
    <row r="563" s="33" customFormat="1" x14ac:dyDescent="0.25"/>
    <row r="564" s="33" customFormat="1" x14ac:dyDescent="0.25"/>
    <row r="565" s="33" customFormat="1" x14ac:dyDescent="0.25"/>
    <row r="566" s="33" customFormat="1" x14ac:dyDescent="0.25"/>
    <row r="567" s="33" customFormat="1" x14ac:dyDescent="0.25"/>
    <row r="568" s="33" customFormat="1" x14ac:dyDescent="0.25"/>
    <row r="569" s="33" customFormat="1" x14ac:dyDescent="0.25"/>
    <row r="570" s="33" customFormat="1" x14ac:dyDescent="0.25"/>
    <row r="571" s="33" customFormat="1" x14ac:dyDescent="0.25"/>
    <row r="572" s="33" customFormat="1" x14ac:dyDescent="0.25"/>
    <row r="573" s="33" customFormat="1" x14ac:dyDescent="0.25"/>
    <row r="574" s="33" customFormat="1" x14ac:dyDescent="0.25"/>
    <row r="575" s="33" customFormat="1" x14ac:dyDescent="0.25"/>
    <row r="576" s="33" customFormat="1" x14ac:dyDescent="0.25"/>
    <row r="577" s="33" customFormat="1" x14ac:dyDescent="0.25"/>
    <row r="578" s="33" customFormat="1" x14ac:dyDescent="0.25"/>
    <row r="579" s="33" customFormat="1" x14ac:dyDescent="0.25"/>
    <row r="580" s="33" customFormat="1" x14ac:dyDescent="0.25"/>
    <row r="581" s="33" customFormat="1" x14ac:dyDescent="0.25"/>
    <row r="582" s="33" customFormat="1" x14ac:dyDescent="0.25"/>
    <row r="583" s="33" customFormat="1" x14ac:dyDescent="0.25"/>
    <row r="584" s="33" customFormat="1" x14ac:dyDescent="0.25"/>
    <row r="585" s="33" customFormat="1" x14ac:dyDescent="0.25"/>
    <row r="586" s="33" customFormat="1" x14ac:dyDescent="0.25"/>
    <row r="587" s="33" customFormat="1" x14ac:dyDescent="0.25"/>
    <row r="588" s="33" customFormat="1" x14ac:dyDescent="0.25"/>
    <row r="589" s="33" customFormat="1" x14ac:dyDescent="0.25"/>
    <row r="590" s="33" customFormat="1" x14ac:dyDescent="0.25"/>
    <row r="591" s="33" customFormat="1" x14ac:dyDescent="0.25"/>
    <row r="592" s="33" customFormat="1" x14ac:dyDescent="0.25"/>
    <row r="593" s="33" customFormat="1" x14ac:dyDescent="0.25"/>
    <row r="594" s="33" customFormat="1" x14ac:dyDescent="0.25"/>
    <row r="595" s="33" customFormat="1" x14ac:dyDescent="0.25"/>
    <row r="596" s="33" customFormat="1" x14ac:dyDescent="0.25"/>
    <row r="597" s="33" customFormat="1" x14ac:dyDescent="0.25"/>
    <row r="598" s="33" customFormat="1" x14ac:dyDescent="0.25"/>
    <row r="599" s="33" customFormat="1" x14ac:dyDescent="0.25"/>
    <row r="600" s="33" customFormat="1" x14ac:dyDescent="0.25"/>
    <row r="601" s="33" customFormat="1" x14ac:dyDescent="0.25"/>
    <row r="602" s="33" customFormat="1" x14ac:dyDescent="0.25"/>
    <row r="603" s="33" customFormat="1" x14ac:dyDescent="0.25"/>
    <row r="604" s="33" customFormat="1" x14ac:dyDescent="0.25"/>
    <row r="605" s="33" customFormat="1" x14ac:dyDescent="0.25"/>
    <row r="606" s="33" customFormat="1" x14ac:dyDescent="0.25"/>
    <row r="607" s="33" customFormat="1" x14ac:dyDescent="0.25"/>
    <row r="608" s="33" customFormat="1" x14ac:dyDescent="0.25"/>
    <row r="609" s="33" customFormat="1" x14ac:dyDescent="0.25"/>
    <row r="610" s="33" customFormat="1" x14ac:dyDescent="0.25"/>
    <row r="611" s="33" customFormat="1" x14ac:dyDescent="0.25"/>
    <row r="612" s="33" customFormat="1" x14ac:dyDescent="0.25"/>
    <row r="613" s="33" customFormat="1" x14ac:dyDescent="0.25"/>
    <row r="614" s="33" customFormat="1" x14ac:dyDescent="0.25"/>
    <row r="615" s="33" customFormat="1" x14ac:dyDescent="0.25"/>
    <row r="616" s="33" customFormat="1" x14ac:dyDescent="0.25"/>
    <row r="617" s="33" customFormat="1" x14ac:dyDescent="0.25"/>
    <row r="618" s="33" customFormat="1" x14ac:dyDescent="0.25"/>
    <row r="619" s="33" customFormat="1" x14ac:dyDescent="0.25"/>
    <row r="620" s="33" customFormat="1" x14ac:dyDescent="0.25"/>
    <row r="621" s="33" customFormat="1" x14ac:dyDescent="0.25"/>
    <row r="622" s="33" customFormat="1" x14ac:dyDescent="0.25"/>
    <row r="623" s="33" customFormat="1" x14ac:dyDescent="0.25"/>
    <row r="624" s="33" customFormat="1" x14ac:dyDescent="0.25"/>
    <row r="625" s="33" customFormat="1" x14ac:dyDescent="0.25"/>
    <row r="626" s="33" customFormat="1" x14ac:dyDescent="0.25"/>
    <row r="627" s="33" customFormat="1" x14ac:dyDescent="0.25"/>
    <row r="628" s="33" customFormat="1" x14ac:dyDescent="0.25"/>
    <row r="629" s="33" customFormat="1" x14ac:dyDescent="0.25"/>
    <row r="630" s="33" customFormat="1" x14ac:dyDescent="0.25"/>
    <row r="631" s="33" customFormat="1" x14ac:dyDescent="0.25"/>
    <row r="632" s="33" customFormat="1" x14ac:dyDescent="0.25"/>
    <row r="633" s="33" customFormat="1" x14ac:dyDescent="0.25"/>
    <row r="634" s="33" customFormat="1" x14ac:dyDescent="0.25"/>
    <row r="635" s="33" customFormat="1" x14ac:dyDescent="0.25"/>
    <row r="636" s="33" customFormat="1" x14ac:dyDescent="0.25"/>
    <row r="637" s="33" customFormat="1" x14ac:dyDescent="0.25"/>
    <row r="638" s="33" customFormat="1" x14ac:dyDescent="0.25"/>
    <row r="639" s="33" customFormat="1" x14ac:dyDescent="0.25"/>
    <row r="640" s="33" customFormat="1" x14ac:dyDescent="0.25"/>
    <row r="641" s="33" customFormat="1" x14ac:dyDescent="0.25"/>
    <row r="642" s="33" customFormat="1" x14ac:dyDescent="0.25"/>
    <row r="643" s="33" customFormat="1" x14ac:dyDescent="0.25"/>
    <row r="644" s="33" customFormat="1" x14ac:dyDescent="0.25"/>
    <row r="645" s="33" customFormat="1" x14ac:dyDescent="0.25"/>
    <row r="646" s="33" customFormat="1" x14ac:dyDescent="0.25"/>
    <row r="647" s="33" customFormat="1" x14ac:dyDescent="0.25"/>
    <row r="648" s="33" customFormat="1" x14ac:dyDescent="0.25"/>
    <row r="649" s="33" customFormat="1" x14ac:dyDescent="0.25"/>
    <row r="650" s="33" customFormat="1" x14ac:dyDescent="0.25"/>
    <row r="651" s="33" customFormat="1" x14ac:dyDescent="0.25"/>
    <row r="652" s="33" customFormat="1" x14ac:dyDescent="0.25"/>
    <row r="653" s="33" customFormat="1" x14ac:dyDescent="0.25"/>
    <row r="654" s="33" customFormat="1" x14ac:dyDescent="0.25"/>
    <row r="655" s="33" customFormat="1" x14ac:dyDescent="0.25"/>
    <row r="656" s="33" customFormat="1" x14ac:dyDescent="0.25"/>
    <row r="657" s="33" customFormat="1" x14ac:dyDescent="0.25"/>
    <row r="658" s="33" customFormat="1" x14ac:dyDescent="0.25"/>
    <row r="659" s="33" customFormat="1" x14ac:dyDescent="0.25"/>
    <row r="660" s="33" customFormat="1" x14ac:dyDescent="0.25"/>
    <row r="661" s="33" customFormat="1" x14ac:dyDescent="0.25"/>
    <row r="662" s="33" customFormat="1" x14ac:dyDescent="0.25"/>
    <row r="663" s="33" customFormat="1" x14ac:dyDescent="0.25"/>
    <row r="664" s="33" customFormat="1" x14ac:dyDescent="0.25"/>
    <row r="665" s="33" customFormat="1" x14ac:dyDescent="0.25"/>
    <row r="666" s="33" customFormat="1" x14ac:dyDescent="0.25"/>
    <row r="667" s="33" customFormat="1" x14ac:dyDescent="0.25"/>
    <row r="668" s="33" customFormat="1" x14ac:dyDescent="0.25"/>
    <row r="669" s="33" customFormat="1" x14ac:dyDescent="0.25"/>
    <row r="670" s="33" customFormat="1" x14ac:dyDescent="0.25"/>
    <row r="671" s="33" customFormat="1" x14ac:dyDescent="0.25"/>
    <row r="672" s="33" customFormat="1" x14ac:dyDescent="0.25"/>
    <row r="673" s="33" customFormat="1" x14ac:dyDescent="0.25"/>
    <row r="674" s="33" customFormat="1" x14ac:dyDescent="0.25"/>
    <row r="675" s="33" customFormat="1" x14ac:dyDescent="0.25"/>
    <row r="676" s="33" customFormat="1" x14ac:dyDescent="0.25"/>
    <row r="677" s="33" customFormat="1" x14ac:dyDescent="0.25"/>
    <row r="678" s="33" customFormat="1" x14ac:dyDescent="0.25"/>
    <row r="679" s="33" customFormat="1" x14ac:dyDescent="0.25"/>
    <row r="680" s="33" customFormat="1" x14ac:dyDescent="0.25"/>
    <row r="681" s="33" customFormat="1" x14ac:dyDescent="0.25"/>
    <row r="682" s="33" customFormat="1" x14ac:dyDescent="0.25"/>
    <row r="683" s="33" customFormat="1" x14ac:dyDescent="0.25"/>
    <row r="684" s="33" customFormat="1" x14ac:dyDescent="0.25"/>
    <row r="685" s="33" customFormat="1" x14ac:dyDescent="0.25"/>
    <row r="686" s="33" customFormat="1" x14ac:dyDescent="0.25"/>
    <row r="687" s="33" customFormat="1" x14ac:dyDescent="0.25"/>
    <row r="688" s="33" customFormat="1" x14ac:dyDescent="0.25"/>
    <row r="689" s="33" customFormat="1" x14ac:dyDescent="0.25"/>
    <row r="690" s="33" customFormat="1" x14ac:dyDescent="0.25"/>
    <row r="691" s="33" customFormat="1" x14ac:dyDescent="0.25"/>
    <row r="692" s="33" customFormat="1" x14ac:dyDescent="0.25"/>
    <row r="693" s="33" customFormat="1" x14ac:dyDescent="0.25"/>
    <row r="694" s="33" customFormat="1" x14ac:dyDescent="0.25"/>
    <row r="695" s="33" customFormat="1" x14ac:dyDescent="0.25"/>
    <row r="696" s="33" customFormat="1" x14ac:dyDescent="0.25"/>
    <row r="697" s="33" customFormat="1" x14ac:dyDescent="0.25"/>
    <row r="698" s="33" customFormat="1" x14ac:dyDescent="0.25"/>
    <row r="699" s="33" customFormat="1" x14ac:dyDescent="0.25"/>
    <row r="700" s="33" customFormat="1" x14ac:dyDescent="0.25"/>
    <row r="701" s="33" customFormat="1" x14ac:dyDescent="0.25"/>
    <row r="702" s="33" customFormat="1" x14ac:dyDescent="0.25"/>
    <row r="703" s="33" customFormat="1" x14ac:dyDescent="0.25"/>
    <row r="704" s="33" customFormat="1" x14ac:dyDescent="0.25"/>
    <row r="705" s="33" customFormat="1" x14ac:dyDescent="0.25"/>
    <row r="706" s="33" customFormat="1" x14ac:dyDescent="0.25"/>
    <row r="707" s="33" customFormat="1" x14ac:dyDescent="0.25"/>
    <row r="708" s="33" customFormat="1" x14ac:dyDescent="0.25"/>
    <row r="709" s="33" customFormat="1" x14ac:dyDescent="0.25"/>
    <row r="710" s="33" customFormat="1" x14ac:dyDescent="0.25"/>
    <row r="711" s="33" customFormat="1" x14ac:dyDescent="0.25"/>
    <row r="712" s="33" customFormat="1" x14ac:dyDescent="0.25"/>
    <row r="713" s="33" customFormat="1" x14ac:dyDescent="0.25"/>
    <row r="714" s="33" customFormat="1" x14ac:dyDescent="0.25"/>
    <row r="715" s="33" customFormat="1" x14ac:dyDescent="0.25"/>
    <row r="716" s="33" customFormat="1" x14ac:dyDescent="0.25"/>
    <row r="717" s="33" customFormat="1" x14ac:dyDescent="0.25"/>
    <row r="718" s="33" customFormat="1" x14ac:dyDescent="0.25"/>
    <row r="719" s="33" customFormat="1" x14ac:dyDescent="0.25"/>
    <row r="720" s="33" customFormat="1" x14ac:dyDescent="0.25"/>
    <row r="721" s="33" customFormat="1" x14ac:dyDescent="0.25"/>
    <row r="722" s="33" customFormat="1" x14ac:dyDescent="0.25"/>
    <row r="723" s="33" customFormat="1" x14ac:dyDescent="0.25"/>
    <row r="724" s="33" customFormat="1" x14ac:dyDescent="0.25"/>
    <row r="725" s="33" customFormat="1" x14ac:dyDescent="0.25"/>
    <row r="726" s="33" customFormat="1" x14ac:dyDescent="0.25"/>
    <row r="727" s="33" customFormat="1" x14ac:dyDescent="0.25"/>
    <row r="728" s="33" customFormat="1" x14ac:dyDescent="0.25"/>
    <row r="729" s="33" customFormat="1" x14ac:dyDescent="0.25"/>
    <row r="730" s="33" customFormat="1" x14ac:dyDescent="0.25"/>
    <row r="731" s="33" customFormat="1" x14ac:dyDescent="0.25"/>
    <row r="732" s="33" customFormat="1" x14ac:dyDescent="0.25"/>
    <row r="733" s="33" customFormat="1" x14ac:dyDescent="0.25"/>
    <row r="734" s="33" customFormat="1" x14ac:dyDescent="0.25"/>
    <row r="735" s="33" customFormat="1" x14ac:dyDescent="0.25"/>
    <row r="736" s="33" customFormat="1" x14ac:dyDescent="0.25"/>
    <row r="737" s="33" customFormat="1" x14ac:dyDescent="0.25"/>
    <row r="738" s="33" customFormat="1" x14ac:dyDescent="0.25"/>
    <row r="739" s="33" customFormat="1" x14ac:dyDescent="0.25"/>
    <row r="740" s="33" customFormat="1" x14ac:dyDescent="0.25"/>
    <row r="741" s="33" customFormat="1" x14ac:dyDescent="0.25"/>
    <row r="742" s="33" customFormat="1" x14ac:dyDescent="0.25"/>
    <row r="743" s="33" customFormat="1" x14ac:dyDescent="0.25"/>
    <row r="744" s="33" customFormat="1" x14ac:dyDescent="0.25"/>
    <row r="745" s="33" customFormat="1" x14ac:dyDescent="0.25"/>
    <row r="746" s="33" customFormat="1" x14ac:dyDescent="0.25"/>
    <row r="747" s="33" customFormat="1" x14ac:dyDescent="0.25"/>
    <row r="748" s="33" customFormat="1" x14ac:dyDescent="0.25"/>
    <row r="749" s="33" customFormat="1" x14ac:dyDescent="0.25"/>
    <row r="750" s="33" customFormat="1" x14ac:dyDescent="0.25"/>
    <row r="751" s="33" customFormat="1" x14ac:dyDescent="0.25"/>
    <row r="752" s="33" customFormat="1" x14ac:dyDescent="0.25"/>
    <row r="753" s="33" customFormat="1" x14ac:dyDescent="0.25"/>
    <row r="754" s="33" customFormat="1" x14ac:dyDescent="0.25"/>
    <row r="755" s="33" customFormat="1" x14ac:dyDescent="0.25"/>
    <row r="756" s="33" customFormat="1" x14ac:dyDescent="0.25"/>
    <row r="757" s="33" customFormat="1" x14ac:dyDescent="0.25"/>
    <row r="758" s="33" customFormat="1" x14ac:dyDescent="0.25"/>
    <row r="759" s="33" customFormat="1" x14ac:dyDescent="0.25"/>
    <row r="760" s="33" customFormat="1" x14ac:dyDescent="0.25"/>
    <row r="761" s="33" customFormat="1" x14ac:dyDescent="0.25"/>
    <row r="762" s="33" customFormat="1" x14ac:dyDescent="0.25"/>
    <row r="763" s="33" customFormat="1" x14ac:dyDescent="0.25"/>
    <row r="764" s="33" customFormat="1" x14ac:dyDescent="0.25"/>
    <row r="765" s="33" customFormat="1" x14ac:dyDescent="0.25"/>
    <row r="766" s="33" customFormat="1" x14ac:dyDescent="0.25"/>
    <row r="767" s="33" customFormat="1" x14ac:dyDescent="0.25"/>
    <row r="768" s="33" customFormat="1" x14ac:dyDescent="0.25"/>
    <row r="769" s="33" customFormat="1" x14ac:dyDescent="0.25"/>
    <row r="770" s="33" customFormat="1" x14ac:dyDescent="0.25"/>
    <row r="771" s="33" customFormat="1" x14ac:dyDescent="0.25"/>
    <row r="772" s="33" customFormat="1" x14ac:dyDescent="0.25"/>
    <row r="773" s="33" customFormat="1" x14ac:dyDescent="0.25"/>
    <row r="774" s="33" customFormat="1" x14ac:dyDescent="0.25"/>
    <row r="775" s="33" customFormat="1" x14ac:dyDescent="0.25"/>
    <row r="776" s="33" customFormat="1" x14ac:dyDescent="0.25"/>
    <row r="777" s="33" customFormat="1" x14ac:dyDescent="0.25"/>
    <row r="778" s="33" customFormat="1" x14ac:dyDescent="0.25"/>
    <row r="779" s="33" customFormat="1" x14ac:dyDescent="0.25"/>
    <row r="780" s="33" customFormat="1" x14ac:dyDescent="0.25"/>
    <row r="781" s="33" customFormat="1" x14ac:dyDescent="0.25"/>
    <row r="782" s="33" customFormat="1" x14ac:dyDescent="0.25"/>
    <row r="783" s="33" customFormat="1" x14ac:dyDescent="0.25"/>
    <row r="784" s="33" customFormat="1" x14ac:dyDescent="0.25"/>
    <row r="785" s="33" customFormat="1" x14ac:dyDescent="0.25"/>
    <row r="786" s="33" customFormat="1" x14ac:dyDescent="0.25"/>
    <row r="787" s="33" customFormat="1" x14ac:dyDescent="0.25"/>
    <row r="788" s="33" customFormat="1" x14ac:dyDescent="0.25"/>
    <row r="789" s="33" customFormat="1" x14ac:dyDescent="0.25"/>
    <row r="790" s="33" customFormat="1" x14ac:dyDescent="0.25"/>
    <row r="791" s="33" customFormat="1" x14ac:dyDescent="0.25"/>
    <row r="792" s="33" customFormat="1" x14ac:dyDescent="0.25"/>
    <row r="793" s="33" customFormat="1" x14ac:dyDescent="0.25"/>
    <row r="794" s="33" customFormat="1" x14ac:dyDescent="0.25"/>
    <row r="795" s="33" customFormat="1" x14ac:dyDescent="0.25"/>
    <row r="796" s="33" customFormat="1" x14ac:dyDescent="0.25"/>
    <row r="797" s="33" customFormat="1" x14ac:dyDescent="0.25"/>
    <row r="798" s="33" customFormat="1" x14ac:dyDescent="0.25"/>
    <row r="799" s="33" customFormat="1" x14ac:dyDescent="0.25"/>
    <row r="800" s="33" customFormat="1" x14ac:dyDescent="0.25"/>
    <row r="801" s="33" customFormat="1" x14ac:dyDescent="0.25"/>
    <row r="802" s="33" customFormat="1" x14ac:dyDescent="0.25"/>
    <row r="803" s="33" customFormat="1" x14ac:dyDescent="0.25"/>
    <row r="804" s="33" customFormat="1" x14ac:dyDescent="0.25"/>
    <row r="805" s="33" customFormat="1" x14ac:dyDescent="0.25"/>
    <row r="806" s="33" customFormat="1" x14ac:dyDescent="0.25"/>
    <row r="807" s="33" customFormat="1" x14ac:dyDescent="0.25"/>
    <row r="808" s="33" customFormat="1" x14ac:dyDescent="0.25"/>
    <row r="809" s="33" customFormat="1" x14ac:dyDescent="0.25"/>
    <row r="810" s="33" customFormat="1" x14ac:dyDescent="0.25"/>
    <row r="811" s="33" customFormat="1" x14ac:dyDescent="0.25"/>
    <row r="812" s="33" customFormat="1" x14ac:dyDescent="0.25"/>
    <row r="813" s="33" customFormat="1" x14ac:dyDescent="0.25"/>
    <row r="814" s="33" customFormat="1" x14ac:dyDescent="0.25"/>
    <row r="815" s="33" customFormat="1" x14ac:dyDescent="0.25"/>
    <row r="816" s="33" customFormat="1" x14ac:dyDescent="0.25"/>
    <row r="817" s="33" customFormat="1" x14ac:dyDescent="0.25"/>
    <row r="818" s="33" customFormat="1" x14ac:dyDescent="0.25"/>
    <row r="819" s="33" customFormat="1" x14ac:dyDescent="0.25"/>
    <row r="820" s="33" customFormat="1" x14ac:dyDescent="0.25"/>
    <row r="821" s="33" customFormat="1" x14ac:dyDescent="0.25"/>
    <row r="822" s="33" customFormat="1" x14ac:dyDescent="0.25"/>
    <row r="823" s="33" customFormat="1" x14ac:dyDescent="0.25"/>
    <row r="824" s="33" customFormat="1" x14ac:dyDescent="0.25"/>
    <row r="825" s="33" customFormat="1" x14ac:dyDescent="0.25"/>
    <row r="826" s="33" customFormat="1" x14ac:dyDescent="0.25"/>
    <row r="827" s="33" customFormat="1" x14ac:dyDescent="0.25"/>
    <row r="828" s="33" customFormat="1" x14ac:dyDescent="0.25"/>
    <row r="829" s="33" customFormat="1" x14ac:dyDescent="0.25"/>
    <row r="830" s="33" customFormat="1" x14ac:dyDescent="0.25"/>
    <row r="831" s="33" customFormat="1" x14ac:dyDescent="0.25"/>
    <row r="832" s="33" customFormat="1" x14ac:dyDescent="0.25"/>
    <row r="833" s="33" customFormat="1" x14ac:dyDescent="0.25"/>
    <row r="834" s="33" customFormat="1" x14ac:dyDescent="0.25"/>
    <row r="835" s="33" customFormat="1" x14ac:dyDescent="0.25"/>
    <row r="836" s="33" customFormat="1" x14ac:dyDescent="0.25"/>
    <row r="837" s="33" customFormat="1" x14ac:dyDescent="0.25"/>
    <row r="838" s="33" customFormat="1" x14ac:dyDescent="0.25"/>
    <row r="839" s="33" customFormat="1" x14ac:dyDescent="0.25"/>
    <row r="840" s="33" customFormat="1" x14ac:dyDescent="0.25"/>
    <row r="841" s="33" customFormat="1" x14ac:dyDescent="0.25"/>
    <row r="842" s="33" customFormat="1" x14ac:dyDescent="0.25"/>
    <row r="843" s="33" customFormat="1" x14ac:dyDescent="0.25"/>
    <row r="844" s="33" customFormat="1" x14ac:dyDescent="0.25"/>
    <row r="845" s="33" customFormat="1" x14ac:dyDescent="0.25"/>
    <row r="846" s="33" customFormat="1" x14ac:dyDescent="0.25"/>
    <row r="847" s="33" customFormat="1" x14ac:dyDescent="0.25"/>
    <row r="848" s="33" customFormat="1" x14ac:dyDescent="0.25"/>
    <row r="849" s="33" customFormat="1" x14ac:dyDescent="0.25"/>
    <row r="850" s="33" customFormat="1" x14ac:dyDescent="0.25"/>
    <row r="851" s="33" customFormat="1" x14ac:dyDescent="0.25"/>
    <row r="852" s="33" customFormat="1" x14ac:dyDescent="0.25"/>
    <row r="853" s="33" customFormat="1" x14ac:dyDescent="0.25"/>
    <row r="854" s="33" customFormat="1" x14ac:dyDescent="0.25"/>
    <row r="855" s="33" customFormat="1" x14ac:dyDescent="0.25"/>
    <row r="856" s="33" customFormat="1" x14ac:dyDescent="0.25"/>
    <row r="857" s="33" customFormat="1" x14ac:dyDescent="0.25"/>
    <row r="858" s="33" customFormat="1" x14ac:dyDescent="0.25"/>
    <row r="859" s="33" customFormat="1" x14ac:dyDescent="0.25"/>
    <row r="860" s="33" customFormat="1" x14ac:dyDescent="0.25"/>
    <row r="861" s="33" customFormat="1" x14ac:dyDescent="0.25"/>
    <row r="862" s="33" customFormat="1" x14ac:dyDescent="0.25"/>
    <row r="863" s="33" customFormat="1" x14ac:dyDescent="0.25"/>
    <row r="864" s="33" customFormat="1" x14ac:dyDescent="0.25"/>
    <row r="865" s="33" customFormat="1" x14ac:dyDescent="0.25"/>
    <row r="866" s="33" customFormat="1" x14ac:dyDescent="0.25"/>
    <row r="867" s="33" customFormat="1" x14ac:dyDescent="0.25"/>
    <row r="868" s="33" customFormat="1" x14ac:dyDescent="0.25"/>
    <row r="869" s="33" customFormat="1" x14ac:dyDescent="0.25"/>
    <row r="870" s="33" customFormat="1" x14ac:dyDescent="0.25"/>
    <row r="871" s="33" customFormat="1" x14ac:dyDescent="0.25"/>
    <row r="872" s="33" customFormat="1" x14ac:dyDescent="0.25"/>
    <row r="873" s="33" customFormat="1" x14ac:dyDescent="0.25"/>
    <row r="874" s="33" customFormat="1" x14ac:dyDescent="0.25"/>
    <row r="875" s="33" customFormat="1" x14ac:dyDescent="0.25"/>
    <row r="876" s="33" customFormat="1" x14ac:dyDescent="0.25"/>
    <row r="877" s="33" customFormat="1" x14ac:dyDescent="0.25"/>
    <row r="878" s="33" customFormat="1" x14ac:dyDescent="0.25"/>
    <row r="879" s="33" customFormat="1" x14ac:dyDescent="0.25"/>
    <row r="880" s="33" customFormat="1" x14ac:dyDescent="0.25"/>
    <row r="881" s="33" customFormat="1" x14ac:dyDescent="0.25"/>
    <row r="882" s="33" customFormat="1" x14ac:dyDescent="0.25"/>
    <row r="883" s="33" customFormat="1" x14ac:dyDescent="0.25"/>
    <row r="884" s="33" customFormat="1" x14ac:dyDescent="0.25"/>
    <row r="885" s="33" customFormat="1" x14ac:dyDescent="0.25"/>
    <row r="886" s="33" customFormat="1" x14ac:dyDescent="0.25"/>
    <row r="887" s="33" customFormat="1" x14ac:dyDescent="0.25"/>
    <row r="888" s="33" customFormat="1" x14ac:dyDescent="0.25"/>
    <row r="889" s="33" customFormat="1" x14ac:dyDescent="0.25"/>
    <row r="890" s="33" customFormat="1" x14ac:dyDescent="0.25"/>
    <row r="891" s="33" customFormat="1" x14ac:dyDescent="0.25"/>
    <row r="892" s="33" customFormat="1" x14ac:dyDescent="0.25"/>
    <row r="893" s="33" customFormat="1" x14ac:dyDescent="0.25"/>
    <row r="894" s="33" customFormat="1" x14ac:dyDescent="0.25"/>
    <row r="895" s="33" customFormat="1" x14ac:dyDescent="0.25"/>
    <row r="896" s="33" customFormat="1" x14ac:dyDescent="0.25"/>
    <row r="897" s="33" customFormat="1" x14ac:dyDescent="0.25"/>
    <row r="898" s="33" customFormat="1" x14ac:dyDescent="0.25"/>
    <row r="899" s="33" customFormat="1" x14ac:dyDescent="0.25"/>
    <row r="900" s="33" customFormat="1" x14ac:dyDescent="0.25"/>
    <row r="901" s="33" customFormat="1" x14ac:dyDescent="0.25"/>
    <row r="902" s="33" customFormat="1" x14ac:dyDescent="0.25"/>
    <row r="903" s="33" customFormat="1" x14ac:dyDescent="0.25"/>
    <row r="904" s="33" customFormat="1" x14ac:dyDescent="0.25"/>
    <row r="905" s="33" customFormat="1" x14ac:dyDescent="0.25"/>
    <row r="906" s="33" customFormat="1" x14ac:dyDescent="0.25"/>
    <row r="907" s="33" customFormat="1" x14ac:dyDescent="0.25"/>
    <row r="908" s="33" customFormat="1" x14ac:dyDescent="0.25"/>
    <row r="909" s="33" customFormat="1" x14ac:dyDescent="0.25"/>
    <row r="910" s="33" customFormat="1" x14ac:dyDescent="0.25"/>
    <row r="911" s="33" customFormat="1" x14ac:dyDescent="0.25"/>
    <row r="912" s="33" customFormat="1" x14ac:dyDescent="0.25"/>
    <row r="913" s="33" customFormat="1" x14ac:dyDescent="0.25"/>
    <row r="914" s="33" customFormat="1" x14ac:dyDescent="0.25"/>
    <row r="915" s="33" customFormat="1" x14ac:dyDescent="0.25"/>
    <row r="916" s="33" customFormat="1" x14ac:dyDescent="0.25"/>
    <row r="917" s="33" customFormat="1" x14ac:dyDescent="0.25"/>
    <row r="918" s="33" customFormat="1" x14ac:dyDescent="0.25"/>
    <row r="919" s="33" customFormat="1" x14ac:dyDescent="0.25"/>
    <row r="920" s="33" customFormat="1" x14ac:dyDescent="0.25"/>
    <row r="921" s="33" customFormat="1" x14ac:dyDescent="0.25"/>
    <row r="922" s="33" customFormat="1" x14ac:dyDescent="0.25"/>
    <row r="923" s="33" customFormat="1" x14ac:dyDescent="0.25"/>
    <row r="924" s="33" customFormat="1" x14ac:dyDescent="0.25"/>
    <row r="925" s="33" customFormat="1" x14ac:dyDescent="0.25"/>
    <row r="926" s="33" customFormat="1" x14ac:dyDescent="0.25"/>
    <row r="927" s="33" customFormat="1" x14ac:dyDescent="0.25"/>
    <row r="928" s="33" customFormat="1" x14ac:dyDescent="0.25"/>
    <row r="929" s="33" customFormat="1" x14ac:dyDescent="0.25"/>
    <row r="930" s="33" customFormat="1" x14ac:dyDescent="0.25"/>
    <row r="931" s="33" customFormat="1" x14ac:dyDescent="0.25"/>
    <row r="932" s="33" customFormat="1" x14ac:dyDescent="0.25"/>
    <row r="933" s="33" customFormat="1" x14ac:dyDescent="0.25"/>
    <row r="934" s="33" customFormat="1" x14ac:dyDescent="0.25"/>
    <row r="935" s="33" customFormat="1" x14ac:dyDescent="0.25"/>
    <row r="936" s="33" customFormat="1" x14ac:dyDescent="0.25"/>
    <row r="937" s="33" customFormat="1" x14ac:dyDescent="0.25"/>
    <row r="938" s="33" customFormat="1" x14ac:dyDescent="0.25"/>
    <row r="939" s="33" customFormat="1" x14ac:dyDescent="0.25"/>
    <row r="940" s="33" customFormat="1" x14ac:dyDescent="0.25"/>
    <row r="941" s="33" customFormat="1" x14ac:dyDescent="0.25"/>
    <row r="942" s="33" customFormat="1" x14ac:dyDescent="0.25"/>
    <row r="943" s="33" customFormat="1" x14ac:dyDescent="0.25"/>
    <row r="944" s="33" customFormat="1" x14ac:dyDescent="0.25"/>
    <row r="945" s="33" customFormat="1" x14ac:dyDescent="0.25"/>
    <row r="946" s="33" customFormat="1" x14ac:dyDescent="0.25"/>
    <row r="947" s="33" customFormat="1" x14ac:dyDescent="0.25"/>
    <row r="948" s="33" customFormat="1" x14ac:dyDescent="0.25"/>
    <row r="949" s="33" customFormat="1" x14ac:dyDescent="0.25"/>
    <row r="950" s="33" customFormat="1" x14ac:dyDescent="0.25"/>
    <row r="951" s="33" customFormat="1" x14ac:dyDescent="0.25"/>
    <row r="952" s="33" customFormat="1" x14ac:dyDescent="0.25"/>
    <row r="953" s="33" customFormat="1" x14ac:dyDescent="0.25"/>
    <row r="954" s="33" customFormat="1" x14ac:dyDescent="0.25"/>
    <row r="955" s="33" customFormat="1" x14ac:dyDescent="0.25"/>
    <row r="956" s="33" customFormat="1" x14ac:dyDescent="0.25"/>
    <row r="957" s="33" customFormat="1" x14ac:dyDescent="0.25"/>
    <row r="958" s="33" customFormat="1" x14ac:dyDescent="0.25"/>
    <row r="959" s="33" customFormat="1" x14ac:dyDescent="0.25"/>
    <row r="960" s="33" customFormat="1" x14ac:dyDescent="0.25"/>
    <row r="961" s="33" customFormat="1" x14ac:dyDescent="0.25"/>
    <row r="962" s="33" customFormat="1" x14ac:dyDescent="0.25"/>
    <row r="963" s="33" customFormat="1" x14ac:dyDescent="0.25"/>
    <row r="964" s="33" customFormat="1" x14ac:dyDescent="0.25"/>
    <row r="965" s="33" customFormat="1" x14ac:dyDescent="0.25"/>
    <row r="966" s="33" customFormat="1" x14ac:dyDescent="0.25"/>
    <row r="967" s="33" customFormat="1" x14ac:dyDescent="0.25"/>
    <row r="968" s="33" customFormat="1" x14ac:dyDescent="0.25"/>
    <row r="969" s="33" customFormat="1" x14ac:dyDescent="0.25"/>
    <row r="970" s="33" customFormat="1" x14ac:dyDescent="0.25"/>
    <row r="971" s="33" customFormat="1" x14ac:dyDescent="0.25"/>
    <row r="972" s="33" customFormat="1" x14ac:dyDescent="0.25"/>
    <row r="973" s="33" customFormat="1" x14ac:dyDescent="0.25"/>
    <row r="974" s="33" customFormat="1" x14ac:dyDescent="0.25"/>
    <row r="975" s="33" customFormat="1" x14ac:dyDescent="0.25"/>
    <row r="976" s="33" customFormat="1" x14ac:dyDescent="0.25"/>
    <row r="977" s="33" customFormat="1" x14ac:dyDescent="0.25"/>
    <row r="978" s="33" customFormat="1" x14ac:dyDescent="0.25"/>
    <row r="979" s="33" customFormat="1" x14ac:dyDescent="0.25"/>
    <row r="980" s="33" customFormat="1" x14ac:dyDescent="0.25"/>
    <row r="981" s="33" customFormat="1" x14ac:dyDescent="0.25"/>
    <row r="982" s="33" customFormat="1" x14ac:dyDescent="0.25"/>
    <row r="983" s="33" customFormat="1" x14ac:dyDescent="0.25"/>
    <row r="984" s="33" customFormat="1" x14ac:dyDescent="0.25"/>
    <row r="985" s="33" customFormat="1" x14ac:dyDescent="0.25"/>
    <row r="986" s="33" customFormat="1" x14ac:dyDescent="0.25"/>
    <row r="987" s="33" customFormat="1" x14ac:dyDescent="0.25"/>
    <row r="988" s="33" customFormat="1" x14ac:dyDescent="0.25"/>
    <row r="989" s="33" customFormat="1" x14ac:dyDescent="0.25"/>
    <row r="990" s="33" customFormat="1" x14ac:dyDescent="0.25"/>
    <row r="991" s="33" customFormat="1" x14ac:dyDescent="0.25"/>
    <row r="992" s="33" customFormat="1" x14ac:dyDescent="0.25"/>
    <row r="993" s="33" customFormat="1" x14ac:dyDescent="0.25"/>
    <row r="994" s="33" customFormat="1" x14ac:dyDescent="0.25"/>
    <row r="995" s="33" customFormat="1" x14ac:dyDescent="0.25"/>
    <row r="996" s="33" customFormat="1" x14ac:dyDescent="0.25"/>
    <row r="997" s="33" customFormat="1" x14ac:dyDescent="0.25"/>
    <row r="998" s="33" customFormat="1" x14ac:dyDescent="0.25"/>
    <row r="999" s="33" customFormat="1" x14ac:dyDescent="0.25"/>
    <row r="1000" s="33" customFormat="1" x14ac:dyDescent="0.25"/>
    <row r="1001" s="33" customFormat="1" x14ac:dyDescent="0.25"/>
    <row r="1002" s="33" customFormat="1" x14ac:dyDescent="0.25"/>
    <row r="1003" s="33" customFormat="1" x14ac:dyDescent="0.25"/>
    <row r="1004" s="33" customFormat="1" x14ac:dyDescent="0.25"/>
    <row r="1005" s="33" customFormat="1" x14ac:dyDescent="0.25"/>
    <row r="1006" s="33" customFormat="1" x14ac:dyDescent="0.25"/>
    <row r="1007" s="33" customFormat="1" x14ac:dyDescent="0.25"/>
    <row r="1008" s="33" customFormat="1" x14ac:dyDescent="0.25"/>
    <row r="1009" s="33" customFormat="1" x14ac:dyDescent="0.25"/>
    <row r="1010" s="33" customFormat="1" x14ac:dyDescent="0.25"/>
    <row r="1011" s="33" customFormat="1" x14ac:dyDescent="0.25"/>
    <row r="1012" s="33" customFormat="1" x14ac:dyDescent="0.25"/>
    <row r="1013" s="33" customFormat="1" x14ac:dyDescent="0.25"/>
    <row r="1014" s="33" customFormat="1" x14ac:dyDescent="0.25"/>
    <row r="1015" s="33" customFormat="1" x14ac:dyDescent="0.25"/>
    <row r="1016" s="33" customFormat="1" x14ac:dyDescent="0.25"/>
    <row r="1017" s="33" customFormat="1" x14ac:dyDescent="0.25"/>
    <row r="1018" s="33" customFormat="1" x14ac:dyDescent="0.25"/>
    <row r="1019" s="33" customFormat="1" x14ac:dyDescent="0.25"/>
    <row r="1020" s="33" customFormat="1" x14ac:dyDescent="0.25"/>
    <row r="1021" s="33" customFormat="1" x14ac:dyDescent="0.25"/>
    <row r="1022" s="33" customFormat="1" x14ac:dyDescent="0.25"/>
    <row r="1023" s="33" customFormat="1" x14ac:dyDescent="0.25"/>
    <row r="1024" s="33" customFormat="1" x14ac:dyDescent="0.25"/>
    <row r="1025" s="33" customFormat="1" x14ac:dyDescent="0.25"/>
    <row r="1026" s="33" customFormat="1" x14ac:dyDescent="0.25"/>
    <row r="1027" s="33" customFormat="1" x14ac:dyDescent="0.25"/>
    <row r="1028" s="33" customFormat="1" x14ac:dyDescent="0.25"/>
    <row r="1029" s="33" customFormat="1" x14ac:dyDescent="0.25"/>
    <row r="1030" s="33" customFormat="1" x14ac:dyDescent="0.25"/>
    <row r="1031" s="33" customFormat="1" x14ac:dyDescent="0.25"/>
    <row r="1032" s="33" customFormat="1" x14ac:dyDescent="0.25"/>
    <row r="1033" s="33" customFormat="1" x14ac:dyDescent="0.25"/>
    <row r="1034" s="33" customFormat="1" x14ac:dyDescent="0.25"/>
    <row r="1035" s="33" customFormat="1" x14ac:dyDescent="0.25"/>
    <row r="1036" s="33" customFormat="1" x14ac:dyDescent="0.25"/>
    <row r="1037" s="33" customFormat="1" x14ac:dyDescent="0.25"/>
    <row r="1038" s="33" customFormat="1" x14ac:dyDescent="0.25"/>
    <row r="1039" s="33" customFormat="1" x14ac:dyDescent="0.25"/>
    <row r="1040" s="33" customFormat="1" x14ac:dyDescent="0.25"/>
    <row r="1041" s="33" customFormat="1" x14ac:dyDescent="0.25"/>
    <row r="1042" s="33" customFormat="1" x14ac:dyDescent="0.25"/>
    <row r="1043" s="33" customFormat="1" x14ac:dyDescent="0.25"/>
    <row r="1044" s="33" customFormat="1" x14ac:dyDescent="0.25"/>
    <row r="1045" s="33" customFormat="1" x14ac:dyDescent="0.25"/>
    <row r="1046" s="33" customFormat="1" x14ac:dyDescent="0.25"/>
    <row r="1047" s="33" customFormat="1" x14ac:dyDescent="0.25"/>
    <row r="1048" s="33" customFormat="1" x14ac:dyDescent="0.25"/>
    <row r="1049" s="33" customFormat="1" x14ac:dyDescent="0.25"/>
    <row r="1050" s="33" customFormat="1" x14ac:dyDescent="0.25"/>
    <row r="1051" s="33" customFormat="1" x14ac:dyDescent="0.25"/>
    <row r="1052" s="33" customFormat="1" x14ac:dyDescent="0.25"/>
    <row r="1053" s="33" customFormat="1" x14ac:dyDescent="0.25"/>
    <row r="1054" s="33" customFormat="1" x14ac:dyDescent="0.25"/>
    <row r="1055" s="33" customFormat="1" x14ac:dyDescent="0.25"/>
    <row r="1056" s="33" customFormat="1" x14ac:dyDescent="0.25"/>
    <row r="1057" s="33" customFormat="1" x14ac:dyDescent="0.25"/>
    <row r="1058" s="33" customFormat="1" x14ac:dyDescent="0.25"/>
    <row r="1059" s="33" customFormat="1" x14ac:dyDescent="0.25"/>
    <row r="1060" s="33" customFormat="1" x14ac:dyDescent="0.25"/>
    <row r="1061" s="33" customFormat="1" x14ac:dyDescent="0.25"/>
    <row r="1062" s="33" customFormat="1" x14ac:dyDescent="0.25"/>
    <row r="1063" s="33" customFormat="1" x14ac:dyDescent="0.25"/>
    <row r="1064" s="33" customFormat="1" x14ac:dyDescent="0.25"/>
    <row r="1065" s="33" customFormat="1" x14ac:dyDescent="0.25"/>
    <row r="1066" s="33" customFormat="1" x14ac:dyDescent="0.25"/>
    <row r="1067" s="33" customFormat="1" x14ac:dyDescent="0.25"/>
    <row r="1068" s="33" customFormat="1" x14ac:dyDescent="0.25"/>
    <row r="1069" s="33" customFormat="1" x14ac:dyDescent="0.25"/>
    <row r="1070" s="33" customFormat="1" x14ac:dyDescent="0.25"/>
    <row r="1071" s="33" customFormat="1" x14ac:dyDescent="0.25"/>
    <row r="1072" s="33" customFormat="1" x14ac:dyDescent="0.25"/>
    <row r="1073" s="33" customFormat="1" x14ac:dyDescent="0.25"/>
    <row r="1074" s="33" customFormat="1" x14ac:dyDescent="0.25"/>
    <row r="1075" s="33" customFormat="1" x14ac:dyDescent="0.25"/>
    <row r="1076" s="33" customFormat="1" x14ac:dyDescent="0.25"/>
    <row r="1077" s="33" customFormat="1" x14ac:dyDescent="0.25"/>
    <row r="1078" s="33" customFormat="1" x14ac:dyDescent="0.25"/>
    <row r="1079" s="33" customFormat="1" x14ac:dyDescent="0.25"/>
    <row r="1080" s="33" customFormat="1" x14ac:dyDescent="0.25"/>
    <row r="1081" s="33" customFormat="1" x14ac:dyDescent="0.25"/>
    <row r="1082" s="33" customFormat="1" x14ac:dyDescent="0.25"/>
    <row r="1083" s="33" customFormat="1" x14ac:dyDescent="0.25"/>
    <row r="1084" s="33" customFormat="1" x14ac:dyDescent="0.25"/>
    <row r="1085" s="33" customFormat="1" x14ac:dyDescent="0.25"/>
    <row r="1086" s="33" customFormat="1" x14ac:dyDescent="0.25"/>
    <row r="1087" s="33" customFormat="1" x14ac:dyDescent="0.25"/>
    <row r="1088" s="33" customFormat="1" x14ac:dyDescent="0.25"/>
    <row r="1089" s="33" customFormat="1" x14ac:dyDescent="0.25"/>
    <row r="1090" s="33" customFormat="1" x14ac:dyDescent="0.25"/>
    <row r="1091" s="33" customFormat="1" x14ac:dyDescent="0.25"/>
    <row r="1092" s="33" customFormat="1" x14ac:dyDescent="0.25"/>
    <row r="1093" s="33" customFormat="1" x14ac:dyDescent="0.25"/>
    <row r="1094" s="33" customFormat="1" x14ac:dyDescent="0.25"/>
    <row r="1095" s="33" customFormat="1" x14ac:dyDescent="0.25"/>
    <row r="1096" s="33" customFormat="1" x14ac:dyDescent="0.25"/>
    <row r="1097" s="33" customFormat="1" x14ac:dyDescent="0.25"/>
    <row r="1098" s="33" customFormat="1" x14ac:dyDescent="0.25"/>
    <row r="1099" s="33" customFormat="1" x14ac:dyDescent="0.25"/>
    <row r="1100" s="33" customFormat="1" x14ac:dyDescent="0.25"/>
    <row r="1101" s="33" customFormat="1" x14ac:dyDescent="0.25"/>
    <row r="1102" s="33" customFormat="1" x14ac:dyDescent="0.25"/>
    <row r="1103" s="33" customFormat="1" x14ac:dyDescent="0.25"/>
    <row r="1104" s="33" customFormat="1" x14ac:dyDescent="0.25"/>
    <row r="1105" s="33" customFormat="1" x14ac:dyDescent="0.25"/>
    <row r="1106" s="33" customFormat="1" x14ac:dyDescent="0.25"/>
    <row r="1107" s="33" customFormat="1" x14ac:dyDescent="0.25"/>
    <row r="1108" s="33" customFormat="1" x14ac:dyDescent="0.25"/>
    <row r="1109" s="33" customFormat="1" x14ac:dyDescent="0.25"/>
    <row r="1110" s="33" customFormat="1" x14ac:dyDescent="0.25"/>
    <row r="1111" s="33" customFormat="1" x14ac:dyDescent="0.25"/>
    <row r="1112" s="33" customFormat="1" x14ac:dyDescent="0.25"/>
    <row r="1113" s="33" customFormat="1" x14ac:dyDescent="0.25"/>
    <row r="1114" s="33" customFormat="1" x14ac:dyDescent="0.25"/>
    <row r="1115" s="33" customFormat="1" x14ac:dyDescent="0.25"/>
    <row r="1116" s="33" customFormat="1" x14ac:dyDescent="0.25"/>
    <row r="1117" s="33" customFormat="1" x14ac:dyDescent="0.25"/>
    <row r="1118" s="33" customFormat="1" x14ac:dyDescent="0.25"/>
    <row r="1119" s="33" customFormat="1" x14ac:dyDescent="0.25"/>
    <row r="1120" s="33" customFormat="1" x14ac:dyDescent="0.25"/>
    <row r="1121" s="33" customFormat="1" x14ac:dyDescent="0.25"/>
    <row r="1122" s="33" customFormat="1" x14ac:dyDescent="0.25"/>
    <row r="1123" s="33" customFormat="1" x14ac:dyDescent="0.25"/>
    <row r="1124" s="33" customFormat="1" x14ac:dyDescent="0.25"/>
    <row r="1125" s="33" customFormat="1" x14ac:dyDescent="0.25"/>
    <row r="1126" s="33" customFormat="1" x14ac:dyDescent="0.25"/>
    <row r="1127" s="33" customFormat="1" x14ac:dyDescent="0.25"/>
    <row r="1128" s="33" customFormat="1" x14ac:dyDescent="0.25"/>
    <row r="1129" s="33" customFormat="1" x14ac:dyDescent="0.25"/>
    <row r="1130" s="33" customFormat="1" x14ac:dyDescent="0.25"/>
    <row r="1131" s="33" customFormat="1" x14ac:dyDescent="0.25"/>
    <row r="1132" s="33" customFormat="1" x14ac:dyDescent="0.25"/>
    <row r="1133" s="33" customFormat="1" x14ac:dyDescent="0.25"/>
    <row r="1134" s="33" customFormat="1" x14ac:dyDescent="0.25"/>
    <row r="1135" s="33" customFormat="1" x14ac:dyDescent="0.25"/>
    <row r="1136" s="33" customFormat="1" x14ac:dyDescent="0.25"/>
    <row r="1137" s="33" customFormat="1" x14ac:dyDescent="0.25"/>
    <row r="1138" s="33" customFormat="1" x14ac:dyDescent="0.25"/>
    <row r="1139" s="33" customFormat="1" x14ac:dyDescent="0.25"/>
    <row r="1140" s="33" customFormat="1" x14ac:dyDescent="0.25"/>
    <row r="1141" s="33" customFormat="1" x14ac:dyDescent="0.25"/>
    <row r="1142" s="33" customFormat="1" x14ac:dyDescent="0.25"/>
    <row r="1143" s="33" customFormat="1" x14ac:dyDescent="0.25"/>
    <row r="1144" s="33" customFormat="1" x14ac:dyDescent="0.25"/>
    <row r="1145" s="33" customFormat="1" x14ac:dyDescent="0.25"/>
    <row r="1146" s="33" customFormat="1" x14ac:dyDescent="0.25"/>
    <row r="1147" s="33" customFormat="1" x14ac:dyDescent="0.25"/>
    <row r="1148" s="33" customFormat="1" x14ac:dyDescent="0.25"/>
    <row r="1149" s="33" customFormat="1" x14ac:dyDescent="0.25"/>
    <row r="1150" s="33" customFormat="1" x14ac:dyDescent="0.25"/>
    <row r="1151" s="33" customFormat="1" x14ac:dyDescent="0.25"/>
    <row r="1152" s="33" customFormat="1" x14ac:dyDescent="0.25"/>
    <row r="1153" s="33" customFormat="1" x14ac:dyDescent="0.25"/>
    <row r="1154" s="33" customFormat="1" x14ac:dyDescent="0.25"/>
    <row r="1155" s="33" customFormat="1" x14ac:dyDescent="0.25"/>
    <row r="1156" s="33" customFormat="1" x14ac:dyDescent="0.25"/>
    <row r="1157" s="33" customFormat="1" x14ac:dyDescent="0.25"/>
    <row r="1158" s="33" customFormat="1" x14ac:dyDescent="0.25"/>
    <row r="1159" s="33" customFormat="1" x14ac:dyDescent="0.25"/>
    <row r="1160" s="33" customFormat="1" x14ac:dyDescent="0.25"/>
    <row r="1161" s="33" customFormat="1" x14ac:dyDescent="0.25"/>
    <row r="1162" s="33" customFormat="1" x14ac:dyDescent="0.25"/>
    <row r="1163" s="33" customFormat="1" x14ac:dyDescent="0.25"/>
    <row r="1164" s="33" customFormat="1" x14ac:dyDescent="0.25"/>
    <row r="1165" s="33" customFormat="1" x14ac:dyDescent="0.25"/>
    <row r="1166" s="33" customFormat="1" x14ac:dyDescent="0.25"/>
    <row r="1167" s="33" customFormat="1" x14ac:dyDescent="0.25"/>
    <row r="1168" s="33" customFormat="1" x14ac:dyDescent="0.25"/>
    <row r="1169" s="33" customFormat="1" x14ac:dyDescent="0.25"/>
    <row r="1170" s="33" customFormat="1" x14ac:dyDescent="0.25"/>
    <row r="1171" s="33" customFormat="1" x14ac:dyDescent="0.25"/>
    <row r="1172" s="33" customFormat="1" x14ac:dyDescent="0.25"/>
    <row r="1173" s="33" customFormat="1" x14ac:dyDescent="0.25"/>
    <row r="1174" s="33" customFormat="1" x14ac:dyDescent="0.25"/>
    <row r="1175" s="33" customFormat="1" x14ac:dyDescent="0.25"/>
    <row r="1176" s="33" customFormat="1" x14ac:dyDescent="0.25"/>
    <row r="1177" s="33" customFormat="1" x14ac:dyDescent="0.25"/>
    <row r="1178" s="33" customFormat="1" x14ac:dyDescent="0.25"/>
    <row r="1179" s="33" customFormat="1" x14ac:dyDescent="0.25"/>
    <row r="1180" s="33" customFormat="1" x14ac:dyDescent="0.25"/>
    <row r="1181" s="33" customFormat="1" x14ac:dyDescent="0.25"/>
    <row r="1182" s="33" customFormat="1" x14ac:dyDescent="0.25"/>
    <row r="1183" s="33" customFormat="1" x14ac:dyDescent="0.25"/>
    <row r="1184" s="33" customFormat="1" x14ac:dyDescent="0.25"/>
    <row r="1185" s="33" customFormat="1" x14ac:dyDescent="0.25"/>
    <row r="1186" s="33" customFormat="1" x14ac:dyDescent="0.25"/>
    <row r="1187" s="33" customFormat="1" x14ac:dyDescent="0.25"/>
    <row r="1188" s="33" customFormat="1" x14ac:dyDescent="0.25"/>
    <row r="1189" s="33" customFormat="1" x14ac:dyDescent="0.25"/>
    <row r="1190" s="33" customFormat="1" x14ac:dyDescent="0.25"/>
    <row r="1191" s="33" customFormat="1" x14ac:dyDescent="0.25"/>
    <row r="1192" s="33" customFormat="1" x14ac:dyDescent="0.25"/>
    <row r="1193" s="33" customFormat="1" x14ac:dyDescent="0.25"/>
    <row r="1194" s="33" customFormat="1" x14ac:dyDescent="0.25"/>
    <row r="1195" s="33" customFormat="1" x14ac:dyDescent="0.25"/>
    <row r="1196" s="33" customFormat="1" x14ac:dyDescent="0.25"/>
    <row r="1197" s="33" customFormat="1" x14ac:dyDescent="0.25"/>
    <row r="1198" s="33" customFormat="1" x14ac:dyDescent="0.25"/>
    <row r="1199" s="33" customFormat="1" x14ac:dyDescent="0.25"/>
    <row r="1200" s="33" customFormat="1" x14ac:dyDescent="0.25"/>
    <row r="1201" s="33" customFormat="1" x14ac:dyDescent="0.25"/>
    <row r="1202" s="33" customFormat="1" x14ac:dyDescent="0.25"/>
    <row r="1203" s="33" customFormat="1" x14ac:dyDescent="0.25"/>
    <row r="1204" s="33" customFormat="1" x14ac:dyDescent="0.25"/>
    <row r="1205" s="33" customFormat="1" x14ac:dyDescent="0.25"/>
    <row r="1206" s="33" customFormat="1" x14ac:dyDescent="0.25"/>
    <row r="1207" s="33" customFormat="1" x14ac:dyDescent="0.25"/>
    <row r="1208" s="33" customFormat="1" x14ac:dyDescent="0.25"/>
    <row r="1209" s="33" customFormat="1" x14ac:dyDescent="0.25"/>
    <row r="1210" s="33" customFormat="1" x14ac:dyDescent="0.25"/>
    <row r="1211" s="33" customFormat="1" x14ac:dyDescent="0.25"/>
    <row r="1212" s="33" customFormat="1" x14ac:dyDescent="0.25"/>
    <row r="1213" s="33" customFormat="1" x14ac:dyDescent="0.25"/>
    <row r="1214" s="33" customFormat="1" x14ac:dyDescent="0.25"/>
    <row r="1215" s="33" customFormat="1" x14ac:dyDescent="0.25"/>
    <row r="1216" s="33" customFormat="1" x14ac:dyDescent="0.25"/>
    <row r="1217" s="33" customFormat="1" x14ac:dyDescent="0.25"/>
    <row r="1218" s="33" customFormat="1" x14ac:dyDescent="0.25"/>
    <row r="1219" s="33" customFormat="1" x14ac:dyDescent="0.25"/>
    <row r="1220" s="33" customFormat="1" x14ac:dyDescent="0.25"/>
    <row r="1221" s="33" customFormat="1" x14ac:dyDescent="0.25"/>
    <row r="1222" s="33" customFormat="1" x14ac:dyDescent="0.25"/>
    <row r="1223" s="33" customFormat="1" x14ac:dyDescent="0.25"/>
    <row r="1224" s="33" customFormat="1" x14ac:dyDescent="0.25"/>
    <row r="1225" s="33" customFormat="1" x14ac:dyDescent="0.25"/>
    <row r="1226" s="33" customFormat="1" x14ac:dyDescent="0.25"/>
    <row r="1227" s="33" customFormat="1" x14ac:dyDescent="0.25"/>
    <row r="1228" s="33" customFormat="1" x14ac:dyDescent="0.25"/>
    <row r="1229" s="33" customFormat="1" x14ac:dyDescent="0.25"/>
    <row r="1230" s="33" customFormat="1" x14ac:dyDescent="0.25"/>
    <row r="1231" s="33" customFormat="1" x14ac:dyDescent="0.25"/>
    <row r="1232" s="33" customFormat="1" x14ac:dyDescent="0.25"/>
    <row r="1233" s="33" customFormat="1" x14ac:dyDescent="0.25"/>
    <row r="1234" s="33" customFormat="1" x14ac:dyDescent="0.25"/>
    <row r="1235" s="33" customFormat="1" x14ac:dyDescent="0.25"/>
    <row r="1236" s="33" customFormat="1" x14ac:dyDescent="0.25"/>
    <row r="1237" s="33" customFormat="1" x14ac:dyDescent="0.25"/>
    <row r="1238" s="33" customFormat="1" x14ac:dyDescent="0.25"/>
    <row r="1239" s="33" customFormat="1" x14ac:dyDescent="0.25"/>
    <row r="1240" s="33" customFormat="1" x14ac:dyDescent="0.25"/>
    <row r="1241" s="33" customFormat="1" x14ac:dyDescent="0.25"/>
    <row r="1242" s="33" customFormat="1" x14ac:dyDescent="0.25"/>
    <row r="1243" s="33" customFormat="1" x14ac:dyDescent="0.25"/>
    <row r="1244" s="33" customFormat="1" x14ac:dyDescent="0.25"/>
    <row r="1245" s="33" customFormat="1" x14ac:dyDescent="0.25"/>
    <row r="1246" s="33" customFormat="1" x14ac:dyDescent="0.25"/>
    <row r="1247" s="33" customFormat="1" x14ac:dyDescent="0.25"/>
    <row r="1248" s="33" customFormat="1" x14ac:dyDescent="0.25"/>
    <row r="1249" s="33" customFormat="1" x14ac:dyDescent="0.25"/>
    <row r="1250" s="33" customFormat="1" x14ac:dyDescent="0.25"/>
    <row r="1251" s="33" customFormat="1" x14ac:dyDescent="0.25"/>
    <row r="1252" s="33" customFormat="1" x14ac:dyDescent="0.25"/>
    <row r="1253" s="33" customFormat="1" x14ac:dyDescent="0.25"/>
    <row r="1254" s="33" customFormat="1" x14ac:dyDescent="0.25"/>
    <row r="1255" s="33" customFormat="1" x14ac:dyDescent="0.25"/>
    <row r="1256" s="33" customFormat="1" x14ac:dyDescent="0.25"/>
    <row r="1257" s="33" customFormat="1" x14ac:dyDescent="0.25"/>
    <row r="1258" s="33" customFormat="1" x14ac:dyDescent="0.25"/>
    <row r="1259" s="33" customFormat="1" x14ac:dyDescent="0.25"/>
    <row r="1260" s="33" customFormat="1" x14ac:dyDescent="0.25"/>
    <row r="1261" s="33" customFormat="1" x14ac:dyDescent="0.25"/>
    <row r="1262" s="33" customFormat="1" x14ac:dyDescent="0.25"/>
    <row r="1263" s="33" customFormat="1" x14ac:dyDescent="0.25"/>
    <row r="1264" s="33" customFormat="1" x14ac:dyDescent="0.25"/>
    <row r="1265" s="33" customFormat="1" x14ac:dyDescent="0.25"/>
    <row r="1266" s="33" customFormat="1" x14ac:dyDescent="0.25"/>
    <row r="1267" s="33" customFormat="1" x14ac:dyDescent="0.25"/>
    <row r="1268" s="33" customFormat="1" x14ac:dyDescent="0.25"/>
    <row r="1269" s="33" customFormat="1" x14ac:dyDescent="0.25"/>
    <row r="1270" s="33" customFormat="1" x14ac:dyDescent="0.25"/>
    <row r="1271" s="33" customFormat="1" x14ac:dyDescent="0.25"/>
    <row r="1272" s="33" customFormat="1" x14ac:dyDescent="0.25"/>
    <row r="1273" s="33" customFormat="1" x14ac:dyDescent="0.25"/>
    <row r="1274" s="33" customFormat="1" x14ac:dyDescent="0.25"/>
    <row r="1275" s="33" customFormat="1" x14ac:dyDescent="0.25"/>
    <row r="1276" s="33" customFormat="1" x14ac:dyDescent="0.25"/>
    <row r="1277" s="33" customFormat="1" x14ac:dyDescent="0.25"/>
    <row r="1278" s="33" customFormat="1" x14ac:dyDescent="0.25"/>
    <row r="1279" s="33" customFormat="1" x14ac:dyDescent="0.25"/>
    <row r="1280" s="33" customFormat="1" x14ac:dyDescent="0.25"/>
    <row r="1281" s="33" customFormat="1" x14ac:dyDescent="0.25"/>
    <row r="1282" s="33" customFormat="1" x14ac:dyDescent="0.25"/>
    <row r="1283" s="33" customFormat="1" x14ac:dyDescent="0.25"/>
    <row r="1284" s="33" customFormat="1" x14ac:dyDescent="0.25"/>
    <row r="1285" s="33" customFormat="1" x14ac:dyDescent="0.25"/>
    <row r="1286" s="33" customFormat="1" x14ac:dyDescent="0.25"/>
    <row r="1287" s="33" customFormat="1" x14ac:dyDescent="0.25"/>
    <row r="1288" s="33" customFormat="1" x14ac:dyDescent="0.25"/>
    <row r="1289" s="33" customFormat="1" x14ac:dyDescent="0.25"/>
    <row r="1290" s="33" customFormat="1" x14ac:dyDescent="0.25"/>
    <row r="1291" s="33" customFormat="1" x14ac:dyDescent="0.25"/>
    <row r="1292" s="33" customFormat="1" x14ac:dyDescent="0.25"/>
    <row r="1293" s="33" customFormat="1" x14ac:dyDescent="0.25"/>
    <row r="1294" s="33" customFormat="1" x14ac:dyDescent="0.25"/>
    <row r="1295" s="33" customFormat="1" x14ac:dyDescent="0.25"/>
    <row r="1296" s="33" customFormat="1" x14ac:dyDescent="0.25"/>
    <row r="1297" s="33" customFormat="1" x14ac:dyDescent="0.25"/>
    <row r="1298" s="33" customFormat="1" x14ac:dyDescent="0.25"/>
    <row r="1299" s="33" customFormat="1" x14ac:dyDescent="0.25"/>
    <row r="1300" s="33" customFormat="1" x14ac:dyDescent="0.25"/>
    <row r="1301" s="33" customFormat="1" x14ac:dyDescent="0.25"/>
    <row r="1302" s="33" customFormat="1" x14ac:dyDescent="0.25"/>
    <row r="1303" s="33" customFormat="1" x14ac:dyDescent="0.25"/>
    <row r="1304" s="33" customFormat="1" x14ac:dyDescent="0.25"/>
    <row r="1305" s="33" customFormat="1" x14ac:dyDescent="0.25"/>
    <row r="1306" s="33" customFormat="1" x14ac:dyDescent="0.25"/>
    <row r="1307" s="33" customFormat="1" x14ac:dyDescent="0.25"/>
    <row r="1308" s="33" customFormat="1" x14ac:dyDescent="0.25"/>
    <row r="1309" s="33" customFormat="1" x14ac:dyDescent="0.25"/>
    <row r="1310" s="33" customFormat="1" x14ac:dyDescent="0.25"/>
    <row r="1311" s="33" customFormat="1" x14ac:dyDescent="0.25"/>
    <row r="1312" s="33" customFormat="1" x14ac:dyDescent="0.25"/>
    <row r="1313" s="33" customFormat="1" x14ac:dyDescent="0.25"/>
    <row r="1314" s="33" customFormat="1" x14ac:dyDescent="0.25"/>
    <row r="1315" s="33" customFormat="1" x14ac:dyDescent="0.25"/>
    <row r="1316" s="33" customFormat="1" x14ac:dyDescent="0.25"/>
    <row r="1317" s="33" customFormat="1" x14ac:dyDescent="0.25"/>
    <row r="1318" s="33" customFormat="1" x14ac:dyDescent="0.25"/>
    <row r="1319" s="33" customFormat="1" x14ac:dyDescent="0.25"/>
    <row r="1320" s="33" customFormat="1" x14ac:dyDescent="0.25"/>
    <row r="1321" s="33" customFormat="1" x14ac:dyDescent="0.25"/>
    <row r="1322" s="33" customFormat="1" x14ac:dyDescent="0.25"/>
    <row r="1323" s="33" customFormat="1" x14ac:dyDescent="0.25"/>
    <row r="1324" s="33" customFormat="1" x14ac:dyDescent="0.25"/>
    <row r="1325" s="33" customFormat="1" x14ac:dyDescent="0.25"/>
    <row r="1326" s="33" customFormat="1" x14ac:dyDescent="0.25"/>
    <row r="1327" s="33" customFormat="1" x14ac:dyDescent="0.25"/>
    <row r="1328" s="33" customFormat="1" x14ac:dyDescent="0.25"/>
    <row r="1329" s="33" customFormat="1" x14ac:dyDescent="0.25"/>
    <row r="1330" s="33" customFormat="1" x14ac:dyDescent="0.25"/>
    <row r="1331" s="33" customFormat="1" x14ac:dyDescent="0.25"/>
    <row r="1332" s="33" customFormat="1" x14ac:dyDescent="0.25"/>
    <row r="1333" s="33" customFormat="1" x14ac:dyDescent="0.25"/>
    <row r="1334" s="33" customFormat="1" x14ac:dyDescent="0.25"/>
    <row r="1335" s="33" customFormat="1" x14ac:dyDescent="0.25"/>
    <row r="1336" s="33" customFormat="1" x14ac:dyDescent="0.25"/>
    <row r="1337" s="33" customFormat="1" x14ac:dyDescent="0.25"/>
    <row r="1338" s="33" customFormat="1" x14ac:dyDescent="0.25"/>
    <row r="1339" s="33" customFormat="1" x14ac:dyDescent="0.25"/>
    <row r="1340" s="33" customFormat="1" x14ac:dyDescent="0.25"/>
    <row r="1341" s="33" customFormat="1" x14ac:dyDescent="0.25"/>
    <row r="1342" s="33" customFormat="1" x14ac:dyDescent="0.25"/>
    <row r="1343" s="33" customFormat="1" x14ac:dyDescent="0.25"/>
    <row r="1344" s="33" customFormat="1" x14ac:dyDescent="0.25"/>
    <row r="1345" s="33" customFormat="1" x14ac:dyDescent="0.25"/>
    <row r="1346" s="33" customFormat="1" x14ac:dyDescent="0.25"/>
    <row r="1347" s="33" customFormat="1" x14ac:dyDescent="0.25"/>
    <row r="1348" s="33" customFormat="1" x14ac:dyDescent="0.25"/>
    <row r="1349" s="33" customFormat="1" x14ac:dyDescent="0.25"/>
    <row r="1350" s="33" customFormat="1" x14ac:dyDescent="0.25"/>
    <row r="1351" s="33" customFormat="1" x14ac:dyDescent="0.25"/>
    <row r="1352" s="33" customFormat="1" x14ac:dyDescent="0.25"/>
    <row r="1353" s="33" customFormat="1" x14ac:dyDescent="0.25"/>
    <row r="1354" s="33" customFormat="1" x14ac:dyDescent="0.25"/>
    <row r="1355" s="33" customFormat="1" x14ac:dyDescent="0.25"/>
    <row r="1356" s="33" customFormat="1" x14ac:dyDescent="0.25"/>
    <row r="1357" s="33" customFormat="1" x14ac:dyDescent="0.25"/>
    <row r="1358" s="33" customFormat="1" x14ac:dyDescent="0.25"/>
    <row r="1359" s="33" customFormat="1" x14ac:dyDescent="0.25"/>
    <row r="1360" s="33" customFormat="1" x14ac:dyDescent="0.25"/>
    <row r="1361" s="33" customFormat="1" x14ac:dyDescent="0.25"/>
    <row r="1362" s="33" customFormat="1" x14ac:dyDescent="0.25"/>
    <row r="1363" s="33" customFormat="1" x14ac:dyDescent="0.25"/>
    <row r="1364" s="33" customFormat="1" x14ac:dyDescent="0.25"/>
    <row r="1365" s="33" customFormat="1" x14ac:dyDescent="0.25"/>
    <row r="1366" s="33" customFormat="1" x14ac:dyDescent="0.25"/>
    <row r="1367" s="33" customFormat="1" x14ac:dyDescent="0.25"/>
    <row r="1368" s="33" customFormat="1" x14ac:dyDescent="0.25"/>
    <row r="1369" s="33" customFormat="1" x14ac:dyDescent="0.25"/>
    <row r="1370" s="33" customFormat="1" x14ac:dyDescent="0.25"/>
    <row r="1371" s="33" customFormat="1" x14ac:dyDescent="0.25"/>
    <row r="1372" s="33" customFormat="1" x14ac:dyDescent="0.25"/>
    <row r="1373" s="33" customFormat="1" x14ac:dyDescent="0.25"/>
    <row r="1374" s="33" customFormat="1" x14ac:dyDescent="0.25"/>
    <row r="1375" s="33" customFormat="1" x14ac:dyDescent="0.25"/>
    <row r="1376" s="33" customFormat="1" x14ac:dyDescent="0.25"/>
    <row r="1377" s="33" customFormat="1" x14ac:dyDescent="0.25"/>
    <row r="1378" s="33" customFormat="1" x14ac:dyDescent="0.25"/>
    <row r="1379" s="33" customFormat="1" x14ac:dyDescent="0.25"/>
    <row r="1380" s="33" customFormat="1" x14ac:dyDescent="0.25"/>
    <row r="1381" s="33" customFormat="1" x14ac:dyDescent="0.25"/>
    <row r="1382" s="33" customFormat="1" x14ac:dyDescent="0.25"/>
    <row r="1383" s="33" customFormat="1" x14ac:dyDescent="0.25"/>
    <row r="1384" s="33" customFormat="1" x14ac:dyDescent="0.25"/>
    <row r="1385" s="33" customFormat="1" x14ac:dyDescent="0.25"/>
    <row r="1386" s="33" customFormat="1" x14ac:dyDescent="0.25"/>
    <row r="1387" s="33" customFormat="1" x14ac:dyDescent="0.25"/>
    <row r="1388" s="33" customFormat="1" x14ac:dyDescent="0.25"/>
    <row r="1389" s="33" customFormat="1" x14ac:dyDescent="0.25"/>
    <row r="1390" s="33" customFormat="1" x14ac:dyDescent="0.25"/>
    <row r="1391" s="33" customFormat="1" x14ac:dyDescent="0.25"/>
    <row r="1392" s="33" customFormat="1" x14ac:dyDescent="0.25"/>
    <row r="1393" s="33" customFormat="1" x14ac:dyDescent="0.25"/>
    <row r="1394" s="33" customFormat="1" x14ac:dyDescent="0.25"/>
    <row r="1395" s="33" customFormat="1" x14ac:dyDescent="0.25"/>
    <row r="1396" s="33" customFormat="1" x14ac:dyDescent="0.25"/>
    <row r="1397" s="33" customFormat="1" x14ac:dyDescent="0.25"/>
    <row r="1398" s="33" customFormat="1" x14ac:dyDescent="0.25"/>
    <row r="1399" s="33" customFormat="1" x14ac:dyDescent="0.25"/>
    <row r="1400" s="33" customFormat="1" x14ac:dyDescent="0.25"/>
    <row r="1401" s="33" customFormat="1" x14ac:dyDescent="0.25"/>
    <row r="1402" s="33" customFormat="1" x14ac:dyDescent="0.25"/>
    <row r="1403" s="33" customFormat="1" x14ac:dyDescent="0.25"/>
    <row r="1404" s="33" customFormat="1" x14ac:dyDescent="0.25"/>
    <row r="1405" s="33" customFormat="1" x14ac:dyDescent="0.25"/>
    <row r="1406" s="33" customFormat="1" x14ac:dyDescent="0.25"/>
    <row r="1407" s="33" customFormat="1" x14ac:dyDescent="0.25"/>
    <row r="1408" s="33" customFormat="1" x14ac:dyDescent="0.25"/>
    <row r="1409" s="33" customFormat="1" x14ac:dyDescent="0.25"/>
    <row r="1410" s="33" customFormat="1" x14ac:dyDescent="0.25"/>
    <row r="1411" s="33" customFormat="1" x14ac:dyDescent="0.25"/>
    <row r="1412" s="33" customFormat="1" x14ac:dyDescent="0.25"/>
    <row r="1413" s="33" customFormat="1" x14ac:dyDescent="0.25"/>
    <row r="1414" s="33" customFormat="1" x14ac:dyDescent="0.25"/>
    <row r="1415" s="33" customFormat="1" x14ac:dyDescent="0.25"/>
    <row r="1416" s="33" customFormat="1" x14ac:dyDescent="0.25"/>
    <row r="1417" s="33" customFormat="1" x14ac:dyDescent="0.25"/>
    <row r="1418" s="33" customFormat="1" x14ac:dyDescent="0.25"/>
    <row r="1419" s="33" customFormat="1" x14ac:dyDescent="0.25"/>
    <row r="1420" s="33" customFormat="1" x14ac:dyDescent="0.25"/>
    <row r="1421" s="33" customFormat="1" x14ac:dyDescent="0.25"/>
    <row r="1422" s="33" customFormat="1" x14ac:dyDescent="0.25"/>
    <row r="1423" s="33" customFormat="1" x14ac:dyDescent="0.25"/>
    <row r="1424" s="33" customFormat="1" x14ac:dyDescent="0.25"/>
    <row r="1425" s="33" customFormat="1" x14ac:dyDescent="0.25"/>
    <row r="1426" s="33" customFormat="1" x14ac:dyDescent="0.25"/>
    <row r="1427" s="33" customFormat="1" x14ac:dyDescent="0.25"/>
    <row r="1428" s="33" customFormat="1" x14ac:dyDescent="0.25"/>
    <row r="1429" s="33" customFormat="1" x14ac:dyDescent="0.25"/>
    <row r="1430" s="33" customFormat="1" x14ac:dyDescent="0.25"/>
    <row r="1431" s="33" customFormat="1" x14ac:dyDescent="0.25"/>
    <row r="1432" s="33" customFormat="1" x14ac:dyDescent="0.25"/>
    <row r="1433" s="33" customFormat="1" x14ac:dyDescent="0.25"/>
    <row r="1434" s="33" customFormat="1" x14ac:dyDescent="0.25"/>
    <row r="1435" s="33" customFormat="1" x14ac:dyDescent="0.25"/>
    <row r="1436" s="33" customFormat="1" x14ac:dyDescent="0.25"/>
    <row r="1437" s="33" customFormat="1" x14ac:dyDescent="0.25"/>
    <row r="1438" s="33" customFormat="1" x14ac:dyDescent="0.25"/>
    <row r="1439" s="33" customFormat="1" x14ac:dyDescent="0.25"/>
    <row r="1440" s="33" customFormat="1" x14ac:dyDescent="0.25"/>
    <row r="1441" s="33" customFormat="1" x14ac:dyDescent="0.25"/>
    <row r="1442" s="33" customFormat="1" x14ac:dyDescent="0.25"/>
    <row r="1443" s="33" customFormat="1" x14ac:dyDescent="0.25"/>
    <row r="1444" s="33" customFormat="1" x14ac:dyDescent="0.25"/>
    <row r="1445" s="33" customFormat="1" x14ac:dyDescent="0.25"/>
    <row r="1446" s="33" customFormat="1" x14ac:dyDescent="0.25"/>
    <row r="1447" s="33" customFormat="1" x14ac:dyDescent="0.25"/>
    <row r="1448" s="33" customFormat="1" x14ac:dyDescent="0.25"/>
    <row r="1449" s="33" customFormat="1" x14ac:dyDescent="0.25"/>
    <row r="1450" s="33" customFormat="1" x14ac:dyDescent="0.25"/>
    <row r="1451" s="33" customFormat="1" x14ac:dyDescent="0.25"/>
    <row r="1452" s="33" customFormat="1" x14ac:dyDescent="0.25"/>
    <row r="1453" s="33" customFormat="1" x14ac:dyDescent="0.25"/>
    <row r="1454" s="33" customFormat="1" x14ac:dyDescent="0.25"/>
    <row r="1455" s="33" customFormat="1" x14ac:dyDescent="0.25"/>
    <row r="1456" s="33" customFormat="1" x14ac:dyDescent="0.25"/>
    <row r="1457" s="33" customFormat="1" x14ac:dyDescent="0.25"/>
    <row r="1458" s="33" customFormat="1" x14ac:dyDescent="0.25"/>
    <row r="1459" s="33" customFormat="1" x14ac:dyDescent="0.25"/>
    <row r="1460" s="33" customFormat="1" x14ac:dyDescent="0.25"/>
    <row r="1461" s="33" customFormat="1" x14ac:dyDescent="0.25"/>
    <row r="1462" s="33" customFormat="1" x14ac:dyDescent="0.25"/>
    <row r="1463" s="33" customFormat="1" x14ac:dyDescent="0.25"/>
    <row r="1464" s="33" customFormat="1" x14ac:dyDescent="0.25"/>
    <row r="1465" s="33" customFormat="1" x14ac:dyDescent="0.25"/>
    <row r="1466" s="33" customFormat="1" x14ac:dyDescent="0.25"/>
    <row r="1467" s="33" customFormat="1" x14ac:dyDescent="0.25"/>
    <row r="1468" s="33" customFormat="1" x14ac:dyDescent="0.25"/>
    <row r="1469" s="33" customFormat="1" x14ac:dyDescent="0.25"/>
    <row r="1470" s="33" customFormat="1" x14ac:dyDescent="0.25"/>
    <row r="1471" s="33" customFormat="1" x14ac:dyDescent="0.25"/>
    <row r="1472" s="33" customFormat="1" x14ac:dyDescent="0.25"/>
    <row r="1473" s="33" customFormat="1" x14ac:dyDescent="0.25"/>
    <row r="1474" s="33" customFormat="1" x14ac:dyDescent="0.25"/>
    <row r="1475" s="33" customFormat="1" x14ac:dyDescent="0.25"/>
    <row r="1476" s="33" customFormat="1" x14ac:dyDescent="0.25"/>
    <row r="1477" s="33" customFormat="1" x14ac:dyDescent="0.25"/>
    <row r="1478" s="33" customFormat="1" x14ac:dyDescent="0.25"/>
    <row r="1479" s="33" customFormat="1" x14ac:dyDescent="0.25"/>
    <row r="1480" s="33" customFormat="1" x14ac:dyDescent="0.25"/>
    <row r="1481" s="33" customFormat="1" x14ac:dyDescent="0.25"/>
    <row r="1482" s="33" customFormat="1" x14ac:dyDescent="0.25"/>
    <row r="1483" s="33" customFormat="1" x14ac:dyDescent="0.25"/>
    <row r="1484" s="33" customFormat="1" x14ac:dyDescent="0.25"/>
    <row r="1485" s="33" customFormat="1" x14ac:dyDescent="0.25"/>
    <row r="1486" s="33" customFormat="1" x14ac:dyDescent="0.25"/>
    <row r="1487" s="33" customFormat="1" x14ac:dyDescent="0.25"/>
    <row r="1488" s="33" customFormat="1" x14ac:dyDescent="0.25"/>
    <row r="1489" s="33" customFormat="1" x14ac:dyDescent="0.25"/>
    <row r="1490" s="33" customFormat="1" x14ac:dyDescent="0.25"/>
    <row r="1491" s="33" customFormat="1" x14ac:dyDescent="0.25"/>
    <row r="1492" s="33" customFormat="1" x14ac:dyDescent="0.25"/>
    <row r="1493" s="33" customFormat="1" x14ac:dyDescent="0.25"/>
    <row r="1494" s="33" customFormat="1" x14ac:dyDescent="0.25"/>
    <row r="1495" s="33" customFormat="1" x14ac:dyDescent="0.25"/>
    <row r="1496" s="33" customFormat="1" x14ac:dyDescent="0.25"/>
    <row r="1497" s="33" customFormat="1" x14ac:dyDescent="0.25"/>
    <row r="1498" s="33" customFormat="1" x14ac:dyDescent="0.25"/>
    <row r="1499" s="33" customFormat="1" x14ac:dyDescent="0.25"/>
    <row r="1500" s="33" customFormat="1" x14ac:dyDescent="0.25"/>
    <row r="1501" s="33" customFormat="1" x14ac:dyDescent="0.25"/>
    <row r="1502" s="33" customFormat="1" x14ac:dyDescent="0.25"/>
    <row r="1503" s="33" customFormat="1" x14ac:dyDescent="0.25"/>
    <row r="1504" s="33" customFormat="1" x14ac:dyDescent="0.25"/>
    <row r="1505" s="33" customFormat="1" x14ac:dyDescent="0.25"/>
    <row r="1506" s="33" customFormat="1" x14ac:dyDescent="0.25"/>
    <row r="1507" s="33" customFormat="1" x14ac:dyDescent="0.25"/>
    <row r="1508" s="33" customFormat="1" x14ac:dyDescent="0.25"/>
    <row r="1509" s="33" customFormat="1" x14ac:dyDescent="0.25"/>
    <row r="1510" s="33" customFormat="1" x14ac:dyDescent="0.25"/>
    <row r="1511" s="33" customFormat="1" x14ac:dyDescent="0.25"/>
    <row r="1512" s="33" customFormat="1" x14ac:dyDescent="0.25"/>
    <row r="1513" s="33" customFormat="1" x14ac:dyDescent="0.25"/>
    <row r="1514" s="33" customFormat="1" x14ac:dyDescent="0.25"/>
    <row r="1515" s="33" customFormat="1" x14ac:dyDescent="0.25"/>
    <row r="1516" s="33" customFormat="1" x14ac:dyDescent="0.25"/>
    <row r="1517" s="33" customFormat="1" x14ac:dyDescent="0.25"/>
    <row r="1518" s="33" customFormat="1" x14ac:dyDescent="0.25"/>
    <row r="1519" s="33" customFormat="1" x14ac:dyDescent="0.25"/>
    <row r="1520" s="33" customFormat="1" x14ac:dyDescent="0.25"/>
    <row r="1521" s="33" customFormat="1" x14ac:dyDescent="0.25"/>
    <row r="1522" s="33" customFormat="1" x14ac:dyDescent="0.25"/>
    <row r="1523" s="33" customFormat="1" x14ac:dyDescent="0.25"/>
    <row r="1524" s="33" customFormat="1" x14ac:dyDescent="0.25"/>
    <row r="1525" s="33" customFormat="1" x14ac:dyDescent="0.25"/>
    <row r="1526" s="33" customFormat="1" x14ac:dyDescent="0.25"/>
    <row r="1527" s="33" customFormat="1" x14ac:dyDescent="0.25"/>
    <row r="1528" s="33" customFormat="1" x14ac:dyDescent="0.25"/>
    <row r="1529" s="33" customFormat="1" x14ac:dyDescent="0.25"/>
    <row r="1530" s="33" customFormat="1" x14ac:dyDescent="0.25"/>
    <row r="1531" s="33" customFormat="1" x14ac:dyDescent="0.25"/>
    <row r="1532" s="33" customFormat="1" x14ac:dyDescent="0.25"/>
    <row r="1533" s="33" customFormat="1" x14ac:dyDescent="0.25"/>
    <row r="1534" s="33" customFormat="1" x14ac:dyDescent="0.25"/>
    <row r="1535" s="33" customFormat="1" x14ac:dyDescent="0.25"/>
    <row r="1536" s="33" customFormat="1" x14ac:dyDescent="0.25"/>
    <row r="1537" s="33" customFormat="1" x14ac:dyDescent="0.25"/>
    <row r="1538" s="33" customFormat="1" x14ac:dyDescent="0.25"/>
    <row r="1539" s="33" customFormat="1" x14ac:dyDescent="0.25"/>
    <row r="1540" s="33" customFormat="1" x14ac:dyDescent="0.25"/>
    <row r="1541" s="33" customFormat="1" x14ac:dyDescent="0.25"/>
    <row r="1542" s="33" customFormat="1" x14ac:dyDescent="0.25"/>
    <row r="1543" s="33" customFormat="1" x14ac:dyDescent="0.25"/>
    <row r="1544" s="33" customFormat="1" x14ac:dyDescent="0.25"/>
    <row r="1545" s="33" customFormat="1" x14ac:dyDescent="0.25"/>
    <row r="1546" s="33" customFormat="1" x14ac:dyDescent="0.25"/>
    <row r="1547" s="33" customFormat="1" x14ac:dyDescent="0.25"/>
    <row r="1548" s="33" customFormat="1" x14ac:dyDescent="0.25"/>
    <row r="1549" s="33" customFormat="1" x14ac:dyDescent="0.25"/>
    <row r="1550" s="33" customFormat="1" x14ac:dyDescent="0.25"/>
    <row r="1551" s="33" customFormat="1" x14ac:dyDescent="0.25"/>
    <row r="1552" s="33" customFormat="1" x14ac:dyDescent="0.25"/>
    <row r="1553" s="33" customFormat="1" x14ac:dyDescent="0.25"/>
    <row r="1554" s="33" customFormat="1" x14ac:dyDescent="0.25"/>
    <row r="1555" s="33" customFormat="1" x14ac:dyDescent="0.25"/>
    <row r="1556" s="33" customFormat="1" x14ac:dyDescent="0.25"/>
    <row r="1557" s="33" customFormat="1" x14ac:dyDescent="0.25"/>
    <row r="1558" s="33" customFormat="1" x14ac:dyDescent="0.25"/>
    <row r="1559" s="33" customFormat="1" x14ac:dyDescent="0.25"/>
    <row r="1560" s="33" customFormat="1" x14ac:dyDescent="0.25"/>
    <row r="1561" s="33" customFormat="1" x14ac:dyDescent="0.25"/>
    <row r="1562" s="33" customFormat="1" x14ac:dyDescent="0.25"/>
    <row r="1563" s="33" customFormat="1" x14ac:dyDescent="0.25"/>
    <row r="1564" s="33" customFormat="1" x14ac:dyDescent="0.25"/>
    <row r="1565" s="33" customFormat="1" x14ac:dyDescent="0.25"/>
    <row r="1566" s="33" customFormat="1" x14ac:dyDescent="0.25"/>
    <row r="1567" s="33" customFormat="1" x14ac:dyDescent="0.25"/>
    <row r="1568" s="33" customFormat="1" x14ac:dyDescent="0.25"/>
    <row r="1569" s="33" customFormat="1" x14ac:dyDescent="0.25"/>
    <row r="1570" s="33" customFormat="1" x14ac:dyDescent="0.25"/>
    <row r="1571" s="33" customFormat="1" x14ac:dyDescent="0.25"/>
    <row r="1572" s="33" customFormat="1" x14ac:dyDescent="0.25"/>
    <row r="1573" s="33" customFormat="1" x14ac:dyDescent="0.25"/>
    <row r="1574" s="33" customFormat="1" x14ac:dyDescent="0.25"/>
    <row r="1575" s="33" customFormat="1" x14ac:dyDescent="0.25"/>
    <row r="1576" s="33" customFormat="1" x14ac:dyDescent="0.25"/>
    <row r="1577" s="33" customFormat="1" x14ac:dyDescent="0.25"/>
    <row r="1578" s="33" customFormat="1" x14ac:dyDescent="0.25"/>
    <row r="1579" s="33" customFormat="1" x14ac:dyDescent="0.25"/>
    <row r="1580" s="33" customFormat="1" x14ac:dyDescent="0.25"/>
    <row r="1581" s="33" customFormat="1" x14ac:dyDescent="0.25"/>
    <row r="1582" s="33" customFormat="1" x14ac:dyDescent="0.25"/>
    <row r="1583" s="33" customFormat="1" x14ac:dyDescent="0.25"/>
    <row r="1584" s="33" customFormat="1" x14ac:dyDescent="0.25"/>
    <row r="1585" s="33" customFormat="1" x14ac:dyDescent="0.25"/>
    <row r="1586" s="33" customFormat="1" x14ac:dyDescent="0.25"/>
    <row r="1587" s="33" customFormat="1" x14ac:dyDescent="0.25"/>
    <row r="1588" s="33" customFormat="1" x14ac:dyDescent="0.25"/>
    <row r="1589" s="33" customFormat="1" x14ac:dyDescent="0.25"/>
    <row r="1590" s="33" customFormat="1" x14ac:dyDescent="0.25"/>
    <row r="1591" s="33" customFormat="1" x14ac:dyDescent="0.25"/>
    <row r="1592" s="33" customFormat="1" x14ac:dyDescent="0.25"/>
    <row r="1593" s="33" customFormat="1" x14ac:dyDescent="0.25"/>
    <row r="1594" s="33" customFormat="1" x14ac:dyDescent="0.25"/>
    <row r="1595" s="33" customFormat="1" x14ac:dyDescent="0.25"/>
    <row r="1596" s="33" customFormat="1" x14ac:dyDescent="0.25"/>
    <row r="1597" s="33" customFormat="1" x14ac:dyDescent="0.25"/>
    <row r="1598" s="33" customFormat="1" x14ac:dyDescent="0.25"/>
    <row r="1599" s="33" customFormat="1" x14ac:dyDescent="0.25"/>
    <row r="1600" s="33" customFormat="1" x14ac:dyDescent="0.25"/>
    <row r="1601" s="33" customFormat="1" x14ac:dyDescent="0.25"/>
    <row r="1602" s="33" customFormat="1" x14ac:dyDescent="0.25"/>
    <row r="1603" s="33" customFormat="1" x14ac:dyDescent="0.25"/>
    <row r="1604" s="33" customFormat="1" x14ac:dyDescent="0.25"/>
    <row r="1605" s="33" customFormat="1" x14ac:dyDescent="0.25"/>
    <row r="1606" s="33" customFormat="1" x14ac:dyDescent="0.25"/>
    <row r="1607" s="33" customFormat="1" x14ac:dyDescent="0.25"/>
    <row r="1608" s="33" customFormat="1" x14ac:dyDescent="0.25"/>
    <row r="1609" s="33" customFormat="1" x14ac:dyDescent="0.25"/>
    <row r="1610" s="33" customFormat="1" x14ac:dyDescent="0.25"/>
    <row r="1611" s="33" customFormat="1" x14ac:dyDescent="0.25"/>
    <row r="1612" s="33" customFormat="1" x14ac:dyDescent="0.25"/>
    <row r="1613" s="33" customFormat="1" x14ac:dyDescent="0.25"/>
    <row r="1614" s="33" customFormat="1" x14ac:dyDescent="0.25"/>
    <row r="1615" s="33" customFormat="1" x14ac:dyDescent="0.25"/>
    <row r="1616" s="33" customFormat="1" x14ac:dyDescent="0.25"/>
    <row r="1617" s="33" customFormat="1" x14ac:dyDescent="0.25"/>
    <row r="1618" s="33" customFormat="1" x14ac:dyDescent="0.25"/>
    <row r="1619" s="33" customFormat="1" x14ac:dyDescent="0.25"/>
    <row r="1620" s="33" customFormat="1" x14ac:dyDescent="0.25"/>
    <row r="1621" s="33" customFormat="1" x14ac:dyDescent="0.25"/>
    <row r="1622" s="33" customFormat="1" x14ac:dyDescent="0.25"/>
    <row r="1623" s="33" customFormat="1" x14ac:dyDescent="0.25"/>
    <row r="1624" s="33" customFormat="1" x14ac:dyDescent="0.25"/>
    <row r="1625" s="33" customFormat="1" x14ac:dyDescent="0.25"/>
    <row r="1626" s="33" customFormat="1" x14ac:dyDescent="0.25"/>
    <row r="1627" s="33" customFormat="1" x14ac:dyDescent="0.25"/>
    <row r="1628" s="33" customFormat="1" x14ac:dyDescent="0.25"/>
    <row r="1629" s="33" customFormat="1" x14ac:dyDescent="0.25"/>
    <row r="1630" s="33" customFormat="1" x14ac:dyDescent="0.25"/>
    <row r="1631" s="33" customFormat="1" x14ac:dyDescent="0.25"/>
    <row r="1632" s="33" customFormat="1" x14ac:dyDescent="0.25"/>
    <row r="1633" s="33" customFormat="1" x14ac:dyDescent="0.25"/>
    <row r="1634" s="33" customFormat="1" x14ac:dyDescent="0.25"/>
    <row r="1635" s="33" customFormat="1" x14ac:dyDescent="0.25"/>
    <row r="1636" s="33" customFormat="1" x14ac:dyDescent="0.25"/>
    <row r="1637" s="33" customFormat="1" x14ac:dyDescent="0.25"/>
    <row r="1638" s="33" customFormat="1" x14ac:dyDescent="0.25"/>
    <row r="1639" s="33" customFormat="1" x14ac:dyDescent="0.25"/>
    <row r="1640" s="33" customFormat="1" x14ac:dyDescent="0.25"/>
    <row r="1641" s="33" customFormat="1" x14ac:dyDescent="0.25"/>
    <row r="1642" s="33" customFormat="1" x14ac:dyDescent="0.25"/>
    <row r="1643" s="33" customFormat="1" x14ac:dyDescent="0.25"/>
    <row r="1644" s="33" customFormat="1" x14ac:dyDescent="0.25"/>
    <row r="1645" s="33" customFormat="1" x14ac:dyDescent="0.25"/>
    <row r="1646" s="33" customFormat="1" x14ac:dyDescent="0.25"/>
    <row r="1647" s="33" customFormat="1" x14ac:dyDescent="0.25"/>
    <row r="1648" s="33" customFormat="1" x14ac:dyDescent="0.25"/>
    <row r="1649" s="33" customFormat="1" x14ac:dyDescent="0.25"/>
    <row r="1650" s="33" customFormat="1" x14ac:dyDescent="0.25"/>
    <row r="1651" s="33" customFormat="1" x14ac:dyDescent="0.25"/>
    <row r="1652" s="33" customFormat="1" x14ac:dyDescent="0.25"/>
    <row r="1653" s="33" customFormat="1" x14ac:dyDescent="0.25"/>
    <row r="1654" s="33" customFormat="1" x14ac:dyDescent="0.25"/>
    <row r="1655" s="33" customFormat="1" x14ac:dyDescent="0.25"/>
    <row r="1656" s="33" customFormat="1" x14ac:dyDescent="0.25"/>
    <row r="1657" s="33" customFormat="1" x14ac:dyDescent="0.25"/>
    <row r="1658" s="33" customFormat="1" x14ac:dyDescent="0.25"/>
    <row r="1659" s="33" customFormat="1" x14ac:dyDescent="0.25"/>
    <row r="1660" s="33" customFormat="1" x14ac:dyDescent="0.25"/>
    <row r="1661" s="33" customFormat="1" x14ac:dyDescent="0.25"/>
    <row r="1662" s="33" customFormat="1" x14ac:dyDescent="0.25"/>
    <row r="1663" s="33" customFormat="1" x14ac:dyDescent="0.25"/>
    <row r="1664" s="33" customFormat="1" x14ac:dyDescent="0.25"/>
    <row r="1665" s="33" customFormat="1" x14ac:dyDescent="0.25"/>
    <row r="1666" s="33" customFormat="1" x14ac:dyDescent="0.25"/>
    <row r="1667" s="33" customFormat="1" x14ac:dyDescent="0.25"/>
    <row r="1668" s="33" customFormat="1" x14ac:dyDescent="0.25"/>
    <row r="1669" s="33" customFormat="1" x14ac:dyDescent="0.25"/>
    <row r="1670" s="33" customFormat="1" x14ac:dyDescent="0.25"/>
    <row r="1671" s="33" customFormat="1" x14ac:dyDescent="0.25"/>
    <row r="1672" s="33" customFormat="1" x14ac:dyDescent="0.25"/>
    <row r="1673" s="33" customFormat="1" x14ac:dyDescent="0.25"/>
    <row r="1674" s="33" customFormat="1" x14ac:dyDescent="0.25"/>
    <row r="1675" s="33" customFormat="1" x14ac:dyDescent="0.25"/>
    <row r="1676" s="33" customFormat="1" x14ac:dyDescent="0.25"/>
    <row r="1677" s="33" customFormat="1" x14ac:dyDescent="0.25"/>
    <row r="1678" s="33" customFormat="1" x14ac:dyDescent="0.25"/>
    <row r="1679" s="33" customFormat="1" x14ac:dyDescent="0.25"/>
    <row r="1680" s="33" customFormat="1" x14ac:dyDescent="0.25"/>
    <row r="1681" s="33" customFormat="1" x14ac:dyDescent="0.25"/>
    <row r="1682" s="33" customFormat="1" x14ac:dyDescent="0.25"/>
    <row r="1683" s="33" customFormat="1" x14ac:dyDescent="0.25"/>
    <row r="1684" s="33" customFormat="1" x14ac:dyDescent="0.25"/>
    <row r="1685" s="33" customFormat="1" x14ac:dyDescent="0.25"/>
    <row r="1686" s="33" customFormat="1" x14ac:dyDescent="0.25"/>
    <row r="1687" s="33" customFormat="1" x14ac:dyDescent="0.25"/>
    <row r="1688" s="33" customFormat="1" x14ac:dyDescent="0.25"/>
    <row r="1689" s="33" customFormat="1" x14ac:dyDescent="0.25"/>
    <row r="1690" s="33" customFormat="1" x14ac:dyDescent="0.25"/>
    <row r="1691" s="33" customFormat="1" x14ac:dyDescent="0.25"/>
    <row r="1692" s="33" customFormat="1" x14ac:dyDescent="0.25"/>
    <row r="1693" s="33" customFormat="1" x14ac:dyDescent="0.25"/>
    <row r="1694" s="33" customFormat="1" x14ac:dyDescent="0.25"/>
    <row r="1695" s="33" customFormat="1" x14ac:dyDescent="0.25"/>
    <row r="1696" s="33" customFormat="1" x14ac:dyDescent="0.25"/>
    <row r="1697" s="33" customFormat="1" x14ac:dyDescent="0.25"/>
    <row r="1698" s="33" customFormat="1" x14ac:dyDescent="0.25"/>
    <row r="1699" s="33" customFormat="1" x14ac:dyDescent="0.25"/>
    <row r="1700" s="33" customFormat="1" x14ac:dyDescent="0.25"/>
    <row r="1701" s="33" customFormat="1" x14ac:dyDescent="0.25"/>
    <row r="1702" s="33" customFormat="1" x14ac:dyDescent="0.25"/>
    <row r="1703" s="33" customFormat="1" x14ac:dyDescent="0.25"/>
    <row r="1704" s="33" customFormat="1" x14ac:dyDescent="0.25"/>
    <row r="1705" s="33" customFormat="1" x14ac:dyDescent="0.25"/>
    <row r="1706" s="33" customFormat="1" x14ac:dyDescent="0.25"/>
    <row r="1707" s="33" customFormat="1" x14ac:dyDescent="0.25"/>
    <row r="1708" s="33" customFormat="1" x14ac:dyDescent="0.25"/>
    <row r="1709" s="33" customFormat="1" x14ac:dyDescent="0.25"/>
    <row r="1710" s="33" customFormat="1" x14ac:dyDescent="0.25"/>
    <row r="1711" s="33" customFormat="1" x14ac:dyDescent="0.25"/>
    <row r="1712" s="33" customFormat="1" x14ac:dyDescent="0.25"/>
    <row r="1713" s="33" customFormat="1" x14ac:dyDescent="0.25"/>
    <row r="1714" s="33" customFormat="1" x14ac:dyDescent="0.25"/>
    <row r="1715" s="33" customFormat="1" x14ac:dyDescent="0.25"/>
    <row r="1716" s="33" customFormat="1" x14ac:dyDescent="0.25"/>
    <row r="1717" s="33" customFormat="1" x14ac:dyDescent="0.25"/>
    <row r="1718" s="33" customFormat="1" x14ac:dyDescent="0.25"/>
    <row r="1719" s="33" customFormat="1" x14ac:dyDescent="0.25"/>
    <row r="1720" s="33" customFormat="1" x14ac:dyDescent="0.25"/>
    <row r="1721" s="33" customFormat="1" x14ac:dyDescent="0.25"/>
    <row r="1722" s="33" customFormat="1" x14ac:dyDescent="0.25"/>
    <row r="1723" s="33" customFormat="1" x14ac:dyDescent="0.25"/>
    <row r="1724" s="33" customFormat="1" x14ac:dyDescent="0.25"/>
    <row r="1725" s="33" customFormat="1" x14ac:dyDescent="0.25"/>
    <row r="1726" s="33" customFormat="1" x14ac:dyDescent="0.25"/>
    <row r="1727" s="33" customFormat="1" x14ac:dyDescent="0.25"/>
    <row r="1728" s="33" customFormat="1" x14ac:dyDescent="0.25"/>
    <row r="1729" s="33" customFormat="1" x14ac:dyDescent="0.25"/>
    <row r="1730" s="33" customFormat="1" x14ac:dyDescent="0.25"/>
    <row r="1731" s="33" customFormat="1" x14ac:dyDescent="0.25"/>
    <row r="1732" s="33" customFormat="1" x14ac:dyDescent="0.25"/>
    <row r="1733" s="33" customFormat="1" x14ac:dyDescent="0.25"/>
    <row r="1734" s="33" customFormat="1" x14ac:dyDescent="0.25"/>
    <row r="1735" s="33" customFormat="1" x14ac:dyDescent="0.25"/>
    <row r="1736" s="33" customFormat="1" x14ac:dyDescent="0.25"/>
    <row r="1737" s="33" customFormat="1" x14ac:dyDescent="0.25"/>
    <row r="1738" s="33" customFormat="1" x14ac:dyDescent="0.25"/>
  </sheetData>
  <phoneticPr fontId="0" type="noConversion"/>
  <conditionalFormatting sqref="C69">
    <cfRule type="cellIs" dxfId="11" priority="10" operator="lessThan">
      <formula>0</formula>
    </cfRule>
  </conditionalFormatting>
  <conditionalFormatting sqref="C70">
    <cfRule type="cellIs" dxfId="10" priority="9" operator="lessThan">
      <formula>0</formula>
    </cfRule>
  </conditionalFormatting>
  <conditionalFormatting sqref="C32">
    <cfRule type="iconSet" priority="4">
      <iconSet iconSet="3Symbols" reverse="1">
        <cfvo type="percent" val="0"/>
        <cfvo type="num" val="75.001000000000005"/>
        <cfvo type="num" val="75.001999999999995"/>
      </iconSet>
    </cfRule>
  </conditionalFormatting>
  <conditionalFormatting sqref="C18:C31">
    <cfRule type="iconSet" priority="2">
      <iconSet iconSet="3Symbols" reverse="1">
        <cfvo type="percent" val="0"/>
        <cfvo type="num" val="75.001000000000005"/>
        <cfvo type="num" val="75.001999999999995"/>
      </iconSet>
    </cfRule>
  </conditionalFormatting>
  <conditionalFormatting sqref="C67">
    <cfRule type="cellIs" dxfId="9" priority="1" operator="lessThan">
      <formula>0</formula>
    </cfRule>
  </conditionalFormatting>
  <dataValidations count="1">
    <dataValidation type="decimal" allowBlank="1" showInputMessage="1" showErrorMessage="1" errorTitle="Felaktigt värde" error="För hög dBA" sqref="C18:C32" xr:uid="{00000000-0002-0000-0200-000000000000}">
      <formula1>0</formula1>
      <formula2>75</formula2>
    </dataValidation>
  </dataValidations>
  <pageMargins left="0.75" right="0.75" top="1" bottom="1" header="0.5" footer="0.5"/>
  <pageSetup paperSize="9" orientation="landscape"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91"/>
  <sheetViews>
    <sheetView topLeftCell="B1" zoomScaleNormal="100" workbookViewId="0">
      <selection activeCell="D60" sqref="D60"/>
    </sheetView>
  </sheetViews>
  <sheetFormatPr defaultRowHeight="12.5" x14ac:dyDescent="0.25"/>
  <cols>
    <col min="1" max="1" width="3.7265625" style="33" customWidth="1"/>
    <col min="2" max="2" width="44.26953125" customWidth="1"/>
    <col min="3" max="3" width="34.7265625" customWidth="1"/>
    <col min="4" max="4" width="24.1796875" customWidth="1"/>
    <col min="5" max="5" width="43.7265625" bestFit="1" customWidth="1"/>
    <col min="6" max="6" width="14.26953125" style="56" bestFit="1" customWidth="1"/>
    <col min="7" max="7" width="9.453125" style="56" bestFit="1" customWidth="1"/>
    <col min="8" max="8" width="8.54296875" style="56" customWidth="1"/>
    <col min="9" max="9" width="19.1796875" style="40" customWidth="1"/>
    <col min="10" max="10" width="20.81640625" style="40" customWidth="1"/>
    <col min="11" max="11" width="17.453125" style="40" customWidth="1"/>
    <col min="12" max="12" width="28.81640625" style="40" customWidth="1"/>
    <col min="13" max="13" width="9.1796875" style="40"/>
    <col min="14" max="16" width="9.1796875" style="37"/>
    <col min="17" max="24" width="9.1796875" style="33"/>
    <col min="25" max="43" width="9.1796875" style="3"/>
  </cols>
  <sheetData>
    <row r="1" spans="1:44" s="5" customFormat="1" ht="17.5" x14ac:dyDescent="0.35">
      <c r="A1" s="31"/>
      <c r="B1" s="9" t="s">
        <v>309</v>
      </c>
      <c r="C1" s="9"/>
      <c r="D1" s="9"/>
      <c r="E1" s="9"/>
      <c r="F1" s="9"/>
      <c r="G1" s="39"/>
      <c r="H1" s="39"/>
      <c r="I1" s="39"/>
      <c r="J1" s="39"/>
      <c r="K1" s="39"/>
      <c r="L1" s="39"/>
      <c r="M1" s="39"/>
      <c r="N1" s="36"/>
      <c r="O1" s="36"/>
      <c r="P1" s="36"/>
      <c r="Q1" s="31"/>
      <c r="R1" s="31"/>
      <c r="S1" s="31"/>
      <c r="T1" s="31"/>
      <c r="U1" s="31"/>
      <c r="V1" s="31"/>
      <c r="W1" s="31"/>
      <c r="X1" s="31"/>
      <c r="Y1" s="4"/>
      <c r="Z1" s="4"/>
      <c r="AA1" s="4"/>
      <c r="AB1" s="4"/>
      <c r="AC1" s="4"/>
      <c r="AD1" s="4"/>
      <c r="AE1" s="4"/>
      <c r="AF1" s="4"/>
      <c r="AG1" s="4"/>
      <c r="AH1" s="4"/>
      <c r="AI1" s="4"/>
      <c r="AJ1" s="4"/>
      <c r="AK1" s="4"/>
      <c r="AL1" s="4"/>
      <c r="AM1" s="4"/>
      <c r="AN1" s="4"/>
      <c r="AO1" s="4"/>
    </row>
    <row r="2" spans="1:44" s="8" customFormat="1" x14ac:dyDescent="0.25">
      <c r="A2" s="32"/>
      <c r="B2" s="10" t="s">
        <v>15</v>
      </c>
      <c r="C2" s="11"/>
      <c r="D2" s="11"/>
      <c r="E2" s="11"/>
      <c r="F2" s="11"/>
      <c r="G2" s="40"/>
      <c r="H2" s="40"/>
      <c r="I2" s="40"/>
      <c r="J2" s="40"/>
      <c r="K2" s="40"/>
      <c r="L2" s="40"/>
      <c r="M2" s="40"/>
      <c r="N2" s="37"/>
      <c r="O2" s="37"/>
      <c r="P2" s="37"/>
      <c r="Q2" s="32"/>
      <c r="R2" s="32"/>
      <c r="S2" s="32"/>
      <c r="T2" s="32"/>
      <c r="U2" s="32"/>
      <c r="V2" s="32"/>
      <c r="W2" s="32"/>
      <c r="X2" s="32"/>
      <c r="Y2" s="7"/>
      <c r="Z2" s="7"/>
      <c r="AA2" s="7"/>
      <c r="AB2" s="7"/>
      <c r="AC2" s="7"/>
      <c r="AD2" s="7"/>
      <c r="AE2" s="7"/>
      <c r="AF2" s="7"/>
      <c r="AG2" s="7"/>
      <c r="AH2" s="7"/>
      <c r="AI2" s="7"/>
      <c r="AJ2" s="7"/>
      <c r="AK2" s="7"/>
      <c r="AL2" s="7"/>
      <c r="AM2" s="7"/>
      <c r="AN2" s="7"/>
      <c r="AO2" s="7"/>
    </row>
    <row r="3" spans="1:44" s="8" customFormat="1" x14ac:dyDescent="0.25">
      <c r="A3" s="32"/>
      <c r="B3" s="12" t="s">
        <v>16</v>
      </c>
      <c r="C3" s="11"/>
      <c r="D3" s="11"/>
      <c r="E3" s="11"/>
      <c r="F3" s="11"/>
      <c r="G3" s="40"/>
      <c r="H3" s="40"/>
      <c r="I3" s="40"/>
      <c r="J3" s="40"/>
      <c r="K3" s="40"/>
      <c r="L3" s="40"/>
      <c r="M3" s="40"/>
      <c r="N3" s="37"/>
      <c r="O3" s="37"/>
      <c r="P3" s="37"/>
      <c r="Q3" s="32"/>
      <c r="R3" s="32"/>
      <c r="S3" s="32"/>
      <c r="T3" s="32"/>
      <c r="U3" s="32"/>
      <c r="V3" s="32"/>
      <c r="W3" s="32"/>
      <c r="X3" s="32"/>
      <c r="Y3" s="7"/>
      <c r="Z3" s="7"/>
      <c r="AA3" s="7"/>
      <c r="AB3" s="7"/>
      <c r="AC3" s="7"/>
      <c r="AD3" s="7"/>
      <c r="AE3" s="7"/>
      <c r="AF3" s="7"/>
      <c r="AG3" s="7"/>
      <c r="AH3" s="7"/>
      <c r="AI3" s="7"/>
      <c r="AJ3" s="7"/>
      <c r="AK3" s="7"/>
      <c r="AL3" s="7"/>
      <c r="AM3" s="7"/>
      <c r="AN3" s="7"/>
      <c r="AO3" s="7"/>
    </row>
    <row r="4" spans="1:44" s="8" customFormat="1" x14ac:dyDescent="0.25">
      <c r="A4" s="32"/>
      <c r="B4" s="11" t="s">
        <v>17</v>
      </c>
      <c r="C4" s="11"/>
      <c r="D4" s="11"/>
      <c r="E4" s="11"/>
      <c r="F4" s="11"/>
      <c r="G4" s="40"/>
      <c r="H4" s="40"/>
      <c r="I4" s="40"/>
      <c r="J4" s="40"/>
      <c r="K4" s="40"/>
      <c r="L4" s="40"/>
      <c r="M4" s="40"/>
      <c r="N4" s="37"/>
      <c r="O4" s="37"/>
      <c r="P4" s="37"/>
      <c r="Q4" s="32"/>
      <c r="R4" s="32"/>
      <c r="S4" s="32"/>
      <c r="T4" s="32"/>
      <c r="U4" s="32"/>
      <c r="V4" s="32"/>
      <c r="W4" s="32"/>
      <c r="X4" s="32"/>
      <c r="Y4" s="7"/>
      <c r="Z4" s="7"/>
      <c r="AA4" s="7"/>
      <c r="AB4" s="7"/>
      <c r="AC4" s="7"/>
      <c r="AD4" s="7"/>
      <c r="AE4" s="7"/>
      <c r="AF4" s="7"/>
      <c r="AG4" s="7"/>
      <c r="AH4" s="7"/>
      <c r="AI4" s="7"/>
      <c r="AJ4" s="7"/>
      <c r="AK4" s="7"/>
      <c r="AL4" s="7"/>
      <c r="AM4" s="7"/>
      <c r="AN4" s="7"/>
      <c r="AO4" s="7"/>
    </row>
    <row r="5" spans="1:44" s="3" customFormat="1" x14ac:dyDescent="0.25">
      <c r="A5" s="33"/>
      <c r="D5" s="33"/>
      <c r="E5" s="33"/>
      <c r="F5" s="40"/>
      <c r="G5" s="40"/>
      <c r="H5" s="40"/>
      <c r="I5" s="40"/>
      <c r="J5" s="40"/>
      <c r="K5" s="40"/>
      <c r="L5" s="40"/>
      <c r="M5" s="40"/>
      <c r="N5" s="37"/>
      <c r="O5" s="37"/>
      <c r="P5" s="37"/>
      <c r="Q5" s="33"/>
      <c r="R5" s="33"/>
      <c r="S5" s="33"/>
      <c r="T5" s="33"/>
      <c r="U5" s="33"/>
      <c r="V5" s="33"/>
      <c r="W5" s="33"/>
      <c r="X5" s="33"/>
    </row>
    <row r="6" spans="1:44" s="1" customFormat="1" ht="13" x14ac:dyDescent="0.3">
      <c r="A6" s="34"/>
      <c r="B6" s="6" t="s">
        <v>0</v>
      </c>
      <c r="C6" s="6"/>
      <c r="D6" s="34"/>
      <c r="E6" s="41"/>
      <c r="F6" s="41"/>
      <c r="G6" s="41"/>
      <c r="H6" s="41"/>
      <c r="I6" s="41"/>
      <c r="J6" s="41"/>
      <c r="K6" s="41"/>
      <c r="L6" s="41"/>
      <c r="M6" s="41"/>
      <c r="N6" s="38"/>
      <c r="O6" s="38"/>
      <c r="P6" s="38"/>
      <c r="Q6" s="34"/>
      <c r="R6" s="34"/>
      <c r="S6" s="34"/>
      <c r="T6" s="34"/>
      <c r="U6" s="34"/>
      <c r="V6" s="34"/>
      <c r="W6" s="34"/>
      <c r="X6" s="34"/>
      <c r="Y6" s="2"/>
      <c r="Z6" s="2"/>
      <c r="AA6" s="2"/>
      <c r="AB6" s="2"/>
      <c r="AC6" s="2"/>
      <c r="AD6" s="2"/>
      <c r="AE6" s="2"/>
      <c r="AF6" s="2"/>
      <c r="AG6" s="2"/>
      <c r="AH6" s="2"/>
      <c r="AI6" s="2"/>
      <c r="AJ6" s="2"/>
      <c r="AK6" s="2"/>
      <c r="AL6" s="2"/>
      <c r="AM6" s="2"/>
      <c r="AN6" s="2"/>
      <c r="AO6" s="2"/>
      <c r="AP6" s="2"/>
      <c r="AQ6" s="2"/>
    </row>
    <row r="7" spans="1:44" ht="14.25" customHeight="1" x14ac:dyDescent="0.25">
      <c r="B7" s="243" t="s">
        <v>313</v>
      </c>
      <c r="C7" s="244"/>
      <c r="D7" s="33"/>
      <c r="E7" s="40"/>
      <c r="F7" s="40"/>
      <c r="G7" s="40"/>
      <c r="H7" s="40"/>
    </row>
    <row r="8" spans="1:44" x14ac:dyDescent="0.25">
      <c r="B8" s="245" t="s">
        <v>1</v>
      </c>
      <c r="C8" s="246">
        <v>40</v>
      </c>
      <c r="D8" s="89"/>
      <c r="E8" s="40"/>
      <c r="F8" s="40"/>
      <c r="G8" s="40"/>
      <c r="H8" s="40"/>
    </row>
    <row r="9" spans="1:44" x14ac:dyDescent="0.25">
      <c r="B9" s="245" t="s">
        <v>39</v>
      </c>
      <c r="C9" s="246">
        <v>40</v>
      </c>
      <c r="D9" s="86"/>
      <c r="E9" s="40"/>
      <c r="F9" s="90"/>
      <c r="G9" s="40"/>
      <c r="H9" s="40"/>
    </row>
    <row r="10" spans="1:44" x14ac:dyDescent="0.25">
      <c r="B10" s="245" t="s">
        <v>2</v>
      </c>
      <c r="C10" s="246">
        <v>3.5000000000000003E-2</v>
      </c>
      <c r="D10" s="33"/>
      <c r="E10" s="40"/>
      <c r="F10" s="40"/>
      <c r="G10" s="40"/>
      <c r="H10" s="40"/>
    </row>
    <row r="11" spans="1:44" x14ac:dyDescent="0.25">
      <c r="B11" s="308" t="s">
        <v>297</v>
      </c>
      <c r="C11" s="309">
        <v>0.2</v>
      </c>
      <c r="D11" s="86"/>
      <c r="E11" s="40"/>
      <c r="F11" s="40"/>
      <c r="G11" s="40"/>
      <c r="H11" s="40"/>
    </row>
    <row r="12" spans="1:44" x14ac:dyDescent="0.25">
      <c r="B12" s="247" t="s">
        <v>141</v>
      </c>
      <c r="C12" s="310">
        <v>1.15E-2</v>
      </c>
      <c r="D12" s="86"/>
      <c r="E12" s="40"/>
      <c r="F12" s="40"/>
      <c r="G12" s="40"/>
      <c r="H12" s="40"/>
    </row>
    <row r="13" spans="1:44" x14ac:dyDescent="0.25">
      <c r="B13" s="245" t="s">
        <v>35</v>
      </c>
      <c r="C13" s="248">
        <v>0</v>
      </c>
      <c r="D13" s="86"/>
      <c r="E13" s="40"/>
      <c r="F13" s="40"/>
      <c r="G13" s="40"/>
      <c r="H13" s="40"/>
    </row>
    <row r="14" spans="1:44" s="3" customFormat="1" ht="13" x14ac:dyDescent="0.3">
      <c r="A14" s="34"/>
      <c r="B14" s="19"/>
      <c r="C14" s="19"/>
      <c r="D14" s="91"/>
      <c r="E14" s="91"/>
      <c r="F14" s="92"/>
      <c r="G14" s="40"/>
      <c r="H14" s="40"/>
      <c r="I14" s="92"/>
      <c r="J14" s="40"/>
      <c r="K14" s="40"/>
      <c r="L14" s="40"/>
      <c r="M14" s="40"/>
      <c r="N14" s="37"/>
      <c r="O14" s="37"/>
      <c r="P14" s="37"/>
      <c r="Q14" s="33"/>
      <c r="R14" s="33"/>
      <c r="S14" s="33"/>
      <c r="T14" s="33"/>
      <c r="U14" s="33"/>
      <c r="V14" s="33"/>
      <c r="W14" s="33"/>
      <c r="X14" s="33"/>
    </row>
    <row r="15" spans="1:44" s="1" customFormat="1" ht="13" x14ac:dyDescent="0.3">
      <c r="A15" s="33"/>
      <c r="B15" s="6" t="s">
        <v>278</v>
      </c>
      <c r="C15" s="6"/>
      <c r="D15" s="6"/>
      <c r="E15" s="6"/>
      <c r="F15" s="6"/>
      <c r="G15" s="6"/>
      <c r="H15" s="6"/>
      <c r="I15" s="118"/>
      <c r="J15" s="118" t="s">
        <v>273</v>
      </c>
      <c r="K15" s="118">
        <v>50</v>
      </c>
      <c r="L15" s="118"/>
      <c r="M15" s="118"/>
      <c r="N15" s="38"/>
      <c r="O15" s="38"/>
      <c r="P15" s="34"/>
      <c r="Q15" s="34"/>
      <c r="R15" s="34"/>
      <c r="S15" s="34"/>
      <c r="T15" s="34"/>
      <c r="U15" s="34"/>
      <c r="V15" s="34"/>
      <c r="W15" s="34"/>
      <c r="X15" s="34"/>
      <c r="Y15" s="2"/>
      <c r="Z15" s="2"/>
      <c r="AA15" s="2"/>
      <c r="AB15" s="2"/>
      <c r="AC15" s="2"/>
      <c r="AD15" s="2"/>
      <c r="AE15" s="2"/>
      <c r="AF15" s="2"/>
      <c r="AG15" s="2"/>
      <c r="AH15" s="2"/>
      <c r="AI15" s="2"/>
      <c r="AJ15" s="2"/>
      <c r="AK15" s="2"/>
      <c r="AL15" s="2"/>
      <c r="AM15" s="2"/>
      <c r="AN15" s="2"/>
      <c r="AO15" s="2"/>
      <c r="AP15" s="2"/>
    </row>
    <row r="16" spans="1:44" ht="27" customHeight="1" x14ac:dyDescent="0.25">
      <c r="B16" s="191" t="s">
        <v>271</v>
      </c>
      <c r="C16" s="340" t="s">
        <v>276</v>
      </c>
      <c r="D16" s="340" t="s">
        <v>37</v>
      </c>
      <c r="E16" s="339" t="s">
        <v>107</v>
      </c>
      <c r="F16" s="340" t="s">
        <v>3</v>
      </c>
      <c r="G16" s="340" t="s">
        <v>51</v>
      </c>
      <c r="H16" s="340" t="s">
        <v>52</v>
      </c>
      <c r="I16" s="325" t="s">
        <v>171</v>
      </c>
      <c r="J16" s="283" t="s">
        <v>109</v>
      </c>
      <c r="K16" s="283" t="s">
        <v>110</v>
      </c>
      <c r="L16" s="283" t="s">
        <v>169</v>
      </c>
      <c r="M16" s="199" t="s">
        <v>170</v>
      </c>
      <c r="N16" s="194"/>
      <c r="O16" s="194"/>
      <c r="P16" s="202"/>
      <c r="Q16" s="197"/>
      <c r="R16" s="197"/>
      <c r="S16" s="197"/>
      <c r="T16" s="197"/>
      <c r="AR16" s="3"/>
    </row>
    <row r="17" spans="2:45" x14ac:dyDescent="0.25">
      <c r="B17" s="211"/>
      <c r="C17" s="249">
        <v>69</v>
      </c>
      <c r="D17" s="74">
        <v>30</v>
      </c>
      <c r="E17" s="78">
        <v>62</v>
      </c>
      <c r="F17" s="110">
        <v>13.5</v>
      </c>
      <c r="G17" s="253">
        <f t="shared" ref="G17:G31" si="0">IF(C17&gt;75,"För hög dBA",J17)</f>
        <v>76211.345758529613</v>
      </c>
      <c r="H17" s="253">
        <f>IF(AND(C17&gt;0,E17&gt;0,F17&gt;0),K17,0)</f>
        <v>74747.79515190034</v>
      </c>
      <c r="I17" s="324">
        <f t="shared" ref="I17:I31" si="1">D17+C17-E17-M17</f>
        <v>36.6</v>
      </c>
      <c r="J17" s="324">
        <f>IF((C17-D17)&gt;25,(F17*(VLOOKUP(C17-D17,Bullervärdering!$E$3:$I$30,3)*(C17-D17)-VLOOKUP(C17-D17,Bullervärdering!$E$3:$I$30,3)*VLOOKUP(C17-D17,Bullervärdering!$E$3:$I$30,1)+VLOOKUP(C17-D17,Bullervärdering!$E$3:$I$30,2)-IF((C17-I17)&gt;25,(VLOOKUP(C17-I17,Bullervärdering!$E$3:$I$30,3)*(C17-I17)-VLOOKUP(C17-I17,Bullervärdering!$E$3:$I$30,3)*VLOOKUP(C17-I17,Bullervärdering!$E$3:$I$30,1)+VLOOKUP(C17-I17,Bullervärdering!$E$3:$I$30,2)),0))),0)</f>
        <v>76211.345758529613</v>
      </c>
      <c r="K17" s="324">
        <f>IF(AND(C17&gt;=50,E17&gt;=50),(F17*(VLOOKUP(C17,Bullervärdering!$A$3:$I$30,8)*(C17)-VLOOKUP(C17,Bullervärdering!$A$3:$I$30,8)*VLOOKUP(C17,Bullervärdering!$A$3:$I$30,1)+VLOOKUP(C17,Bullervärdering!$A$3:$I$30,2)-(VLOOKUP(E17,Bullervärdering!$A$3:$I$30,8)*(E17)-VLOOKUP(E17,Bullervärdering!$A$3:$I$30,8)*VLOOKUP(E17,Bullervärdering!$A$3:$I$30,1)+VLOOKUP(E17,Bullervärdering!$A$3:$I$30,2)))),(F17*(VLOOKUP(C17,Bullervärdering!$A$3:$I$30,8)*(C17)-VLOOKUP(C17,Bullervärdering!$A$3:$I$30,8)*VLOOKUP(C17,Bullervärdering!$A$3:$I$30,1)+VLOOKUP(C17,Bullervärdering!$A$3:$I$30,2)-(VLOOKUP($K$15,Bullervärdering!$A$3:$I$30,8)*($K$15)-VLOOKUP($K$15,Bullervärdering!$A$3:$I$30,8)*VLOOKUP($K$15,Bullervärdering!$A$3:$I$30,1)+VLOOKUP($K$15,Bullervärdering!$A$3:$I$30,2)))))</f>
        <v>74747.79515190034</v>
      </c>
      <c r="L17" s="283">
        <f>C17-E17</f>
        <v>7</v>
      </c>
      <c r="M17" s="200">
        <f>IF(L17&lt;5,0,IF(L17&lt;20,(L17-5)/5,3))</f>
        <v>0.4</v>
      </c>
      <c r="N17" s="201"/>
      <c r="O17" s="194"/>
      <c r="P17" s="202"/>
      <c r="Q17" s="197"/>
      <c r="R17" s="197"/>
      <c r="S17" s="197"/>
      <c r="T17" s="197"/>
    </row>
    <row r="18" spans="2:45" x14ac:dyDescent="0.25">
      <c r="B18" s="211"/>
      <c r="C18" s="249">
        <v>65</v>
      </c>
      <c r="D18" s="74">
        <v>30</v>
      </c>
      <c r="E18" s="78">
        <v>57</v>
      </c>
      <c r="F18" s="110">
        <v>8.1</v>
      </c>
      <c r="G18" s="253">
        <f t="shared" si="0"/>
        <v>38260.187299562611</v>
      </c>
      <c r="H18" s="253">
        <f t="shared" ref="H18:H31" si="2">IF(AND(C18&gt;0,E18&gt;0,F18&gt;0),K18,0)</f>
        <v>31772.426531064004</v>
      </c>
      <c r="I18" s="324">
        <f t="shared" si="1"/>
        <v>37.4</v>
      </c>
      <c r="J18" s="324">
        <f>IF((C18-D18)&gt;25,(F18*(VLOOKUP(C18-D18,Bullervärdering!$E$3:$I$30,3)*(C18-D18)-VLOOKUP(C18-D18,Bullervärdering!$E$3:$I$30,3)*VLOOKUP(C18-D18,Bullervärdering!$E$3:$I$30,1)+VLOOKUP(C18-D18,Bullervärdering!$E$3:$I$30,2)-IF((C18-I18)&gt;25,(VLOOKUP(C18-I18,Bullervärdering!$E$3:$I$30,3)*(C18-I18)-VLOOKUP(C18-I18,Bullervärdering!$E$3:$I$30,3)*VLOOKUP(C18-I18,Bullervärdering!$E$3:$I$30,1)+VLOOKUP(C18-I18,Bullervärdering!$E$3:$I$30,2)),0))),0)</f>
        <v>38260.187299562611</v>
      </c>
      <c r="K18" s="324">
        <f>IF(AND(C18&gt;=50,E18&gt;=50),(F18*(VLOOKUP(C18,Bullervärdering!$A$3:$I$30,8)*(C18)-VLOOKUP(C18,Bullervärdering!$A$3:$I$30,8)*VLOOKUP(C18,Bullervärdering!$A$3:$I$30,1)+VLOOKUP(C18,Bullervärdering!$A$3:$I$30,2)-(VLOOKUP(E18,Bullervärdering!$A$3:$I$30,8)*(E18)-VLOOKUP(E18,Bullervärdering!$A$3:$I$30,8)*VLOOKUP(E18,Bullervärdering!$A$3:$I$30,1)+VLOOKUP(E18,Bullervärdering!$A$3:$I$30,2)))),(F18*(VLOOKUP(C18,Bullervärdering!$A$3:$I$30,8)*(C18)-VLOOKUP(C18,Bullervärdering!$A$3:$I$30,8)*VLOOKUP(C18,Bullervärdering!$A$3:$I$30,1)+VLOOKUP(C18,Bullervärdering!$A$3:$I$30,2)-(VLOOKUP($K$15,Bullervärdering!$A$3:$I$30,8)*($K$15)-VLOOKUP($K$15,Bullervärdering!$A$3:$I$30,8)*VLOOKUP($K$15,Bullervärdering!$A$3:$I$30,1)+VLOOKUP($K$15,Bullervärdering!$A$3:$I$30,2)))))</f>
        <v>31772.426531064004</v>
      </c>
      <c r="L18" s="283">
        <f t="shared" ref="L18:L31" si="3">C18-E18</f>
        <v>8</v>
      </c>
      <c r="M18" s="200">
        <f t="shared" ref="M18:M31" si="4">IF(L18&lt;5,0,IF(L18&lt;20,(L18-5)/5,3))</f>
        <v>0.6</v>
      </c>
      <c r="N18" s="194"/>
      <c r="O18" s="194"/>
      <c r="P18" s="202"/>
      <c r="Q18" s="197"/>
      <c r="R18" s="197"/>
      <c r="S18" s="197"/>
      <c r="T18" s="197"/>
    </row>
    <row r="19" spans="2:45" x14ac:dyDescent="0.25">
      <c r="B19" s="211"/>
      <c r="C19" s="249"/>
      <c r="D19" s="74">
        <v>30</v>
      </c>
      <c r="E19" s="251"/>
      <c r="F19" s="252"/>
      <c r="G19" s="253">
        <f t="shared" si="0"/>
        <v>0</v>
      </c>
      <c r="H19" s="253">
        <f t="shared" si="2"/>
        <v>0</v>
      </c>
      <c r="I19" s="324">
        <f t="shared" si="1"/>
        <v>30</v>
      </c>
      <c r="J19" s="324">
        <f>IF((C19-D19)&gt;25,(F19*(VLOOKUP(C19-D19,Bullervärdering!$E$3:$I$30,3)*(C19-D19)-VLOOKUP(C19-D19,Bullervärdering!$E$3:$I$30,3)*VLOOKUP(C19-D19,Bullervärdering!$E$3:$I$30,1)+VLOOKUP(C19-D19,Bullervärdering!$E$3:$I$30,2)-IF((C19-I19)&gt;25,(VLOOKUP(C19-I19,Bullervärdering!$E$3:$I$30,3)*(C19-I19)-VLOOKUP(C19-I19,Bullervärdering!$E$3:$I$30,3)*VLOOKUP(C19-I19,Bullervärdering!$E$3:$I$30,1)+VLOOKUP(C19-I19,Bullervärdering!$E$3:$I$30,2)),0))),0)</f>
        <v>0</v>
      </c>
      <c r="K19" s="324" t="e">
        <f>IF(AND(C19&gt;=50,E19&gt;=50),(F19*(VLOOKUP(C19,Bullervärdering!$A$3:$I$30,8)*(C19)-VLOOKUP(C19,Bullervärdering!$A$3:$I$30,8)*VLOOKUP(C19,Bullervärdering!$A$3:$I$30,1)+VLOOKUP(C19,Bullervärdering!$A$3:$I$30,2)-(VLOOKUP(E19,Bullervärdering!$A$3:$I$30,8)*(E19)-VLOOKUP(E19,Bullervärdering!$A$3:$I$30,8)*VLOOKUP(E19,Bullervärdering!$A$3:$I$30,1)+VLOOKUP(E19,Bullervärdering!$A$3:$I$30,2)))),(F19*(VLOOKUP(C19,Bullervärdering!$A$3:$I$30,8)*(C19)-VLOOKUP(C19,Bullervärdering!$A$3:$I$30,8)*VLOOKUP(C19,Bullervärdering!$A$3:$I$30,1)+VLOOKUP(C19,Bullervärdering!$A$3:$I$30,2)-(VLOOKUP($K$15,Bullervärdering!$A$3:$I$30,8)*($K$15)-VLOOKUP($K$15,Bullervärdering!$A$3:$I$30,8)*VLOOKUP($K$15,Bullervärdering!$A$3:$I$30,1)+VLOOKUP($K$15,Bullervärdering!$A$3:$I$30,2)))))</f>
        <v>#N/A</v>
      </c>
      <c r="L19" s="283">
        <f t="shared" si="3"/>
        <v>0</v>
      </c>
      <c r="M19" s="200">
        <f t="shared" si="4"/>
        <v>0</v>
      </c>
      <c r="N19" s="194"/>
      <c r="O19" s="194"/>
      <c r="P19" s="202"/>
      <c r="Q19" s="197"/>
      <c r="R19" s="197"/>
      <c r="S19" s="197"/>
      <c r="T19" s="197"/>
    </row>
    <row r="20" spans="2:45" x14ac:dyDescent="0.25">
      <c r="B20" s="211"/>
      <c r="C20" s="249"/>
      <c r="D20" s="74">
        <v>30</v>
      </c>
      <c r="E20" s="251"/>
      <c r="F20" s="252"/>
      <c r="G20" s="253">
        <f t="shared" si="0"/>
        <v>0</v>
      </c>
      <c r="H20" s="253">
        <f t="shared" si="2"/>
        <v>0</v>
      </c>
      <c r="I20" s="324">
        <f t="shared" si="1"/>
        <v>30</v>
      </c>
      <c r="J20" s="324">
        <f>IF((C20-D20)&gt;25,(F20*(VLOOKUP(C20-D20,Bullervärdering!$E$3:$I$30,3)*(C20-D20)-VLOOKUP(C20-D20,Bullervärdering!$E$3:$I$30,3)*VLOOKUP(C20-D20,Bullervärdering!$E$3:$I$30,1)+VLOOKUP(C20-D20,Bullervärdering!$E$3:$I$30,2)-IF((C20-I20)&gt;25,(VLOOKUP(C20-I20,Bullervärdering!$E$3:$I$30,3)*(C20-I20)-VLOOKUP(C20-I20,Bullervärdering!$E$3:$I$30,3)*VLOOKUP(C20-I20,Bullervärdering!$E$3:$I$30,1)+VLOOKUP(C20-I20,Bullervärdering!$E$3:$I$30,2)),0))),0)</f>
        <v>0</v>
      </c>
      <c r="K20" s="324" t="e">
        <f>IF(AND(C20&gt;=50,E20&gt;=50),(F20*(VLOOKUP(C20,Bullervärdering!$A$3:$I$30,8)*(C20)-VLOOKUP(C20,Bullervärdering!$A$3:$I$30,8)*VLOOKUP(C20,Bullervärdering!$A$3:$I$30,1)+VLOOKUP(C20,Bullervärdering!$A$3:$I$30,2)-(VLOOKUP(E20,Bullervärdering!$A$3:$I$30,8)*(E20)-VLOOKUP(E20,Bullervärdering!$A$3:$I$30,8)*VLOOKUP(E20,Bullervärdering!$A$3:$I$30,1)+VLOOKUP(E20,Bullervärdering!$A$3:$I$30,2)))),(F20*(VLOOKUP(C20,Bullervärdering!$A$3:$I$30,8)*(C20)-VLOOKUP(C20,Bullervärdering!$A$3:$I$30,8)*VLOOKUP(C20,Bullervärdering!$A$3:$I$30,1)+VLOOKUP(C20,Bullervärdering!$A$3:$I$30,2)-(VLOOKUP($K$15,Bullervärdering!$A$3:$I$30,8)*($K$15)-VLOOKUP($K$15,Bullervärdering!$A$3:$I$30,8)*VLOOKUP($K$15,Bullervärdering!$A$3:$I$30,1)+VLOOKUP($K$15,Bullervärdering!$A$3:$I$30,2)))))</f>
        <v>#N/A</v>
      </c>
      <c r="L20" s="283">
        <f t="shared" si="3"/>
        <v>0</v>
      </c>
      <c r="M20" s="200">
        <f t="shared" si="4"/>
        <v>0</v>
      </c>
      <c r="N20" s="194"/>
      <c r="O20" s="194"/>
      <c r="P20" s="202"/>
      <c r="Q20" s="197"/>
      <c r="R20" s="197"/>
      <c r="S20" s="197"/>
      <c r="T20" s="197"/>
    </row>
    <row r="21" spans="2:45" x14ac:dyDescent="0.25">
      <c r="B21" s="211"/>
      <c r="C21" s="249"/>
      <c r="D21" s="74">
        <v>30</v>
      </c>
      <c r="E21" s="251"/>
      <c r="F21" s="252"/>
      <c r="G21" s="253">
        <f t="shared" si="0"/>
        <v>0</v>
      </c>
      <c r="H21" s="253">
        <f t="shared" si="2"/>
        <v>0</v>
      </c>
      <c r="I21" s="324">
        <f t="shared" si="1"/>
        <v>30</v>
      </c>
      <c r="J21" s="324">
        <f>IF((C21-D21)&gt;25,(F21*(VLOOKUP(C21-D21,Bullervärdering!$E$3:$I$30,3)*(C21-D21)-VLOOKUP(C21-D21,Bullervärdering!$E$3:$I$30,3)*VLOOKUP(C21-D21,Bullervärdering!$E$3:$I$30,1)+VLOOKUP(C21-D21,Bullervärdering!$E$3:$I$30,2)-IF((C21-I21)&gt;25,(VLOOKUP(C21-I21,Bullervärdering!$E$3:$I$30,3)*(C21-I21)-VLOOKUP(C21-I21,Bullervärdering!$E$3:$I$30,3)*VLOOKUP(C21-I21,Bullervärdering!$E$3:$I$30,1)+VLOOKUP(C21-I21,Bullervärdering!$E$3:$I$30,2)),0))),0)</f>
        <v>0</v>
      </c>
      <c r="K21" s="324" t="e">
        <f>IF(AND(C21&gt;=50,E21&gt;=50),(F21*(VLOOKUP(C21,Bullervärdering!$A$3:$I$30,8)*(C21)-VLOOKUP(C21,Bullervärdering!$A$3:$I$30,8)*VLOOKUP(C21,Bullervärdering!$A$3:$I$30,1)+VLOOKUP(C21,Bullervärdering!$A$3:$I$30,2)-(VLOOKUP(E21,Bullervärdering!$A$3:$I$30,8)*(E21)-VLOOKUP(E21,Bullervärdering!$A$3:$I$30,8)*VLOOKUP(E21,Bullervärdering!$A$3:$I$30,1)+VLOOKUP(E21,Bullervärdering!$A$3:$I$30,2)))),(F21*(VLOOKUP(C21,Bullervärdering!$A$3:$I$30,8)*(C21)-VLOOKUP(C21,Bullervärdering!$A$3:$I$30,8)*VLOOKUP(C21,Bullervärdering!$A$3:$I$30,1)+VLOOKUP(C21,Bullervärdering!$A$3:$I$30,2)-(VLOOKUP($K$15,Bullervärdering!$A$3:$I$30,8)*($K$15)-VLOOKUP($K$15,Bullervärdering!$A$3:$I$30,8)*VLOOKUP($K$15,Bullervärdering!$A$3:$I$30,1)+VLOOKUP($K$15,Bullervärdering!$A$3:$I$30,2)))))</f>
        <v>#N/A</v>
      </c>
      <c r="L21" s="283">
        <f t="shared" si="3"/>
        <v>0</v>
      </c>
      <c r="M21" s="200">
        <f t="shared" si="4"/>
        <v>0</v>
      </c>
      <c r="N21" s="194"/>
      <c r="O21" s="194"/>
      <c r="P21" s="202"/>
      <c r="Q21" s="197"/>
      <c r="R21" s="197"/>
      <c r="S21" s="197"/>
      <c r="T21" s="197"/>
    </row>
    <row r="22" spans="2:45" x14ac:dyDescent="0.25">
      <c r="B22" s="210"/>
      <c r="C22" s="249"/>
      <c r="D22" s="74">
        <v>30</v>
      </c>
      <c r="E22" s="251"/>
      <c r="F22" s="252"/>
      <c r="G22" s="253">
        <f t="shared" si="0"/>
        <v>0</v>
      </c>
      <c r="H22" s="253">
        <f t="shared" si="2"/>
        <v>0</v>
      </c>
      <c r="I22" s="324">
        <f t="shared" si="1"/>
        <v>30</v>
      </c>
      <c r="J22" s="324">
        <f>IF((C22-D22)&gt;25,(F22*(VLOOKUP(C22-D22,Bullervärdering!$E$3:$I$30,3)*(C22-D22)-VLOOKUP(C22-D22,Bullervärdering!$E$3:$I$30,3)*VLOOKUP(C22-D22,Bullervärdering!$E$3:$I$30,1)+VLOOKUP(C22-D22,Bullervärdering!$E$3:$I$30,2)-IF((C22-I22)&gt;25,(VLOOKUP(C22-I22,Bullervärdering!$E$3:$I$30,3)*(C22-I22)-VLOOKUP(C22-I22,Bullervärdering!$E$3:$I$30,3)*VLOOKUP(C22-I22,Bullervärdering!$E$3:$I$30,1)+VLOOKUP(C22-I22,Bullervärdering!$E$3:$I$30,2)),0))),0)</f>
        <v>0</v>
      </c>
      <c r="K22" s="324" t="e">
        <f>IF(AND(C22&gt;=50,E22&gt;=50),(F22*(VLOOKUP(C22,Bullervärdering!$A$3:$I$30,8)*(C22)-VLOOKUP(C22,Bullervärdering!$A$3:$I$30,8)*VLOOKUP(C22,Bullervärdering!$A$3:$I$30,1)+VLOOKUP(C22,Bullervärdering!$A$3:$I$30,2)-(VLOOKUP(E22,Bullervärdering!$A$3:$I$30,8)*(E22)-VLOOKUP(E22,Bullervärdering!$A$3:$I$30,8)*VLOOKUP(E22,Bullervärdering!$A$3:$I$30,1)+VLOOKUP(E22,Bullervärdering!$A$3:$I$30,2)))),(F22*(VLOOKUP(C22,Bullervärdering!$A$3:$I$30,8)*(C22)-VLOOKUP(C22,Bullervärdering!$A$3:$I$30,8)*VLOOKUP(C22,Bullervärdering!$A$3:$I$30,1)+VLOOKUP(C22,Bullervärdering!$A$3:$I$30,2)-(VLOOKUP($K$15,Bullervärdering!$A$3:$I$30,8)*($K$15)-VLOOKUP($K$15,Bullervärdering!$A$3:$I$30,8)*VLOOKUP($K$15,Bullervärdering!$A$3:$I$30,1)+VLOOKUP($K$15,Bullervärdering!$A$3:$I$30,2)))))</f>
        <v>#N/A</v>
      </c>
      <c r="L22" s="283">
        <f t="shared" si="3"/>
        <v>0</v>
      </c>
      <c r="M22" s="200">
        <f t="shared" si="4"/>
        <v>0</v>
      </c>
      <c r="N22" s="194"/>
      <c r="O22" s="194"/>
      <c r="P22" s="202"/>
      <c r="Q22" s="197"/>
      <c r="R22" s="197"/>
      <c r="S22" s="197"/>
      <c r="T22" s="197"/>
    </row>
    <row r="23" spans="2:45" x14ac:dyDescent="0.25">
      <c r="B23" s="210"/>
      <c r="C23" s="249"/>
      <c r="D23" s="74">
        <v>30</v>
      </c>
      <c r="E23" s="251"/>
      <c r="F23" s="252"/>
      <c r="G23" s="253">
        <f t="shared" si="0"/>
        <v>0</v>
      </c>
      <c r="H23" s="253">
        <f t="shared" si="2"/>
        <v>0</v>
      </c>
      <c r="I23" s="324">
        <f t="shared" si="1"/>
        <v>30</v>
      </c>
      <c r="J23" s="324">
        <f>IF((C23-D23)&gt;25,(F23*(VLOOKUP(C23-D23,Bullervärdering!$E$3:$I$30,3)*(C23-D23)-VLOOKUP(C23-D23,Bullervärdering!$E$3:$I$30,3)*VLOOKUP(C23-D23,Bullervärdering!$E$3:$I$30,1)+VLOOKUP(C23-D23,Bullervärdering!$E$3:$I$30,2)-IF((C23-I23)&gt;25,(VLOOKUP(C23-I23,Bullervärdering!$E$3:$I$30,3)*(C23-I23)-VLOOKUP(C23-I23,Bullervärdering!$E$3:$I$30,3)*VLOOKUP(C23-I23,Bullervärdering!$E$3:$I$30,1)+VLOOKUP(C23-I23,Bullervärdering!$E$3:$I$30,2)),0))),0)</f>
        <v>0</v>
      </c>
      <c r="K23" s="324" t="e">
        <f>IF(AND(C23&gt;=50,E23&gt;=50),(F23*(VLOOKUP(C23,Bullervärdering!$A$3:$I$30,8)*(C23)-VLOOKUP(C23,Bullervärdering!$A$3:$I$30,8)*VLOOKUP(C23,Bullervärdering!$A$3:$I$30,1)+VLOOKUP(C23,Bullervärdering!$A$3:$I$30,2)-(VLOOKUP(E23,Bullervärdering!$A$3:$I$30,8)*(E23)-VLOOKUP(E23,Bullervärdering!$A$3:$I$30,8)*VLOOKUP(E23,Bullervärdering!$A$3:$I$30,1)+VLOOKUP(E23,Bullervärdering!$A$3:$I$30,2)))),(F23*(VLOOKUP(C23,Bullervärdering!$A$3:$I$30,8)*(C23)-VLOOKUP(C23,Bullervärdering!$A$3:$I$30,8)*VLOOKUP(C23,Bullervärdering!$A$3:$I$30,1)+VLOOKUP(C23,Bullervärdering!$A$3:$I$30,2)-(VLOOKUP($K$15,Bullervärdering!$A$3:$I$30,8)*($K$15)-VLOOKUP($K$15,Bullervärdering!$A$3:$I$30,8)*VLOOKUP($K$15,Bullervärdering!$A$3:$I$30,1)+VLOOKUP($K$15,Bullervärdering!$A$3:$I$30,2)))))</f>
        <v>#N/A</v>
      </c>
      <c r="L23" s="283">
        <f t="shared" si="3"/>
        <v>0</v>
      </c>
      <c r="M23" s="200">
        <f t="shared" si="4"/>
        <v>0</v>
      </c>
      <c r="N23" s="194"/>
      <c r="O23" s="194"/>
      <c r="P23" s="202"/>
      <c r="Q23" s="197"/>
      <c r="R23" s="197"/>
      <c r="S23" s="197"/>
      <c r="T23" s="197"/>
    </row>
    <row r="24" spans="2:45" x14ac:dyDescent="0.25">
      <c r="B24" s="210"/>
      <c r="C24" s="249"/>
      <c r="D24" s="74">
        <v>30</v>
      </c>
      <c r="E24" s="251"/>
      <c r="F24" s="252"/>
      <c r="G24" s="253">
        <f t="shared" si="0"/>
        <v>0</v>
      </c>
      <c r="H24" s="253">
        <f t="shared" si="2"/>
        <v>0</v>
      </c>
      <c r="I24" s="324">
        <f t="shared" si="1"/>
        <v>30</v>
      </c>
      <c r="J24" s="324">
        <f>IF((C24-D24)&gt;25,(F24*(VLOOKUP(C24-D24,Bullervärdering!$E$3:$I$30,3)*(C24-D24)-VLOOKUP(C24-D24,Bullervärdering!$E$3:$I$30,3)*VLOOKUP(C24-D24,Bullervärdering!$E$3:$I$30,1)+VLOOKUP(C24-D24,Bullervärdering!$E$3:$I$30,2)-IF((C24-I24)&gt;25,(VLOOKUP(C24-I24,Bullervärdering!$E$3:$I$30,3)*(C24-I24)-VLOOKUP(C24-I24,Bullervärdering!$E$3:$I$30,3)*VLOOKUP(C24-I24,Bullervärdering!$E$3:$I$30,1)+VLOOKUP(C24-I24,Bullervärdering!$E$3:$I$30,2)),0))),0)</f>
        <v>0</v>
      </c>
      <c r="K24" s="324" t="e">
        <f>IF(AND(C24&gt;=50,E24&gt;=50),(F24*(VLOOKUP(C24,Bullervärdering!$A$3:$I$30,8)*(C24)-VLOOKUP(C24,Bullervärdering!$A$3:$I$30,8)*VLOOKUP(C24,Bullervärdering!$A$3:$I$30,1)+VLOOKUP(C24,Bullervärdering!$A$3:$I$30,2)-(VLOOKUP(E24,Bullervärdering!$A$3:$I$30,8)*(E24)-VLOOKUP(E24,Bullervärdering!$A$3:$I$30,8)*VLOOKUP(E24,Bullervärdering!$A$3:$I$30,1)+VLOOKUP(E24,Bullervärdering!$A$3:$I$30,2)))),(F24*(VLOOKUP(C24,Bullervärdering!$A$3:$I$30,8)*(C24)-VLOOKUP(C24,Bullervärdering!$A$3:$I$30,8)*VLOOKUP(C24,Bullervärdering!$A$3:$I$30,1)+VLOOKUP(C24,Bullervärdering!$A$3:$I$30,2)-(VLOOKUP($K$15,Bullervärdering!$A$3:$I$30,8)*($K$15)-VLOOKUP($K$15,Bullervärdering!$A$3:$I$30,8)*VLOOKUP($K$15,Bullervärdering!$A$3:$I$30,1)+VLOOKUP($K$15,Bullervärdering!$A$3:$I$30,2)))))</f>
        <v>#N/A</v>
      </c>
      <c r="L24" s="283">
        <f t="shared" si="3"/>
        <v>0</v>
      </c>
      <c r="M24" s="200">
        <f t="shared" si="4"/>
        <v>0</v>
      </c>
      <c r="N24" s="194"/>
      <c r="O24" s="194"/>
      <c r="P24" s="202"/>
      <c r="Q24" s="197"/>
      <c r="R24" s="197"/>
      <c r="S24" s="197"/>
      <c r="T24" s="197"/>
    </row>
    <row r="25" spans="2:45" x14ac:dyDescent="0.25">
      <c r="B25" s="210"/>
      <c r="C25" s="249"/>
      <c r="D25" s="74">
        <v>30</v>
      </c>
      <c r="E25" s="251"/>
      <c r="F25" s="252"/>
      <c r="G25" s="253">
        <f t="shared" si="0"/>
        <v>0</v>
      </c>
      <c r="H25" s="253">
        <f t="shared" si="2"/>
        <v>0</v>
      </c>
      <c r="I25" s="324">
        <f t="shared" si="1"/>
        <v>30</v>
      </c>
      <c r="J25" s="324">
        <f>IF((C25-D25)&gt;25,(F25*(VLOOKUP(C25-D25,Bullervärdering!$E$3:$I$30,3)*(C25-D25)-VLOOKUP(C25-D25,Bullervärdering!$E$3:$I$30,3)*VLOOKUP(C25-D25,Bullervärdering!$E$3:$I$30,1)+VLOOKUP(C25-D25,Bullervärdering!$E$3:$I$30,2)-IF((C25-I25)&gt;25,(VLOOKUP(C25-I25,Bullervärdering!$E$3:$I$30,3)*(C25-I25)-VLOOKUP(C25-I25,Bullervärdering!$E$3:$I$30,3)*VLOOKUP(C25-I25,Bullervärdering!$E$3:$I$30,1)+VLOOKUP(C25-I25,Bullervärdering!$E$3:$I$30,2)),0))),0)</f>
        <v>0</v>
      </c>
      <c r="K25" s="324" t="e">
        <f>IF(AND(C25&gt;=50,E25&gt;=50),(F25*(VLOOKUP(C25,Bullervärdering!$A$3:$I$30,8)*(C25)-VLOOKUP(C25,Bullervärdering!$A$3:$I$30,8)*VLOOKUP(C25,Bullervärdering!$A$3:$I$30,1)+VLOOKUP(C25,Bullervärdering!$A$3:$I$30,2)-(VLOOKUP(E25,Bullervärdering!$A$3:$I$30,8)*(E25)-VLOOKUP(E25,Bullervärdering!$A$3:$I$30,8)*VLOOKUP(E25,Bullervärdering!$A$3:$I$30,1)+VLOOKUP(E25,Bullervärdering!$A$3:$I$30,2)))),(F25*(VLOOKUP(C25,Bullervärdering!$A$3:$I$30,8)*(C25)-VLOOKUP(C25,Bullervärdering!$A$3:$I$30,8)*VLOOKUP(C25,Bullervärdering!$A$3:$I$30,1)+VLOOKUP(C25,Bullervärdering!$A$3:$I$30,2)-(VLOOKUP($K$15,Bullervärdering!$A$3:$I$30,8)*($K$15)-VLOOKUP($K$15,Bullervärdering!$A$3:$I$30,8)*VLOOKUP($K$15,Bullervärdering!$A$3:$I$30,1)+VLOOKUP($K$15,Bullervärdering!$A$3:$I$30,2)))))</f>
        <v>#N/A</v>
      </c>
      <c r="L25" s="283">
        <f t="shared" si="3"/>
        <v>0</v>
      </c>
      <c r="M25" s="200">
        <f t="shared" si="4"/>
        <v>0</v>
      </c>
      <c r="N25" s="194"/>
      <c r="O25" s="194"/>
      <c r="P25" s="202"/>
      <c r="Q25" s="197"/>
      <c r="R25" s="197"/>
      <c r="S25" s="197"/>
      <c r="T25" s="197"/>
    </row>
    <row r="26" spans="2:45" x14ac:dyDescent="0.25">
      <c r="B26" s="210"/>
      <c r="C26" s="249"/>
      <c r="D26" s="74">
        <v>30</v>
      </c>
      <c r="E26" s="251"/>
      <c r="F26" s="252"/>
      <c r="G26" s="253">
        <f t="shared" si="0"/>
        <v>0</v>
      </c>
      <c r="H26" s="253">
        <f t="shared" si="2"/>
        <v>0</v>
      </c>
      <c r="I26" s="324">
        <f t="shared" si="1"/>
        <v>30</v>
      </c>
      <c r="J26" s="324">
        <f>IF((C26-D26)&gt;25,(F26*(VLOOKUP(C26-D26,Bullervärdering!$E$3:$I$30,3)*(C26-D26)-VLOOKUP(C26-D26,Bullervärdering!$E$3:$I$30,3)*VLOOKUP(C26-D26,Bullervärdering!$E$3:$I$30,1)+VLOOKUP(C26-D26,Bullervärdering!$E$3:$I$30,2)-IF((C26-I26)&gt;25,(VLOOKUP(C26-I26,Bullervärdering!$E$3:$I$30,3)*(C26-I26)-VLOOKUP(C26-I26,Bullervärdering!$E$3:$I$30,3)*VLOOKUP(C26-I26,Bullervärdering!$E$3:$I$30,1)+VLOOKUP(C26-I26,Bullervärdering!$E$3:$I$30,2)),0))),0)</f>
        <v>0</v>
      </c>
      <c r="K26" s="324" t="e">
        <f>IF(AND(C26&gt;=50,E26&gt;=50),(F26*(VLOOKUP(C26,Bullervärdering!$A$3:$I$30,8)*(C26)-VLOOKUP(C26,Bullervärdering!$A$3:$I$30,8)*VLOOKUP(C26,Bullervärdering!$A$3:$I$30,1)+VLOOKUP(C26,Bullervärdering!$A$3:$I$30,2)-(VLOOKUP(E26,Bullervärdering!$A$3:$I$30,8)*(E26)-VLOOKUP(E26,Bullervärdering!$A$3:$I$30,8)*VLOOKUP(E26,Bullervärdering!$A$3:$I$30,1)+VLOOKUP(E26,Bullervärdering!$A$3:$I$30,2)))),(F26*(VLOOKUP(C26,Bullervärdering!$A$3:$I$30,8)*(C26)-VLOOKUP(C26,Bullervärdering!$A$3:$I$30,8)*VLOOKUP(C26,Bullervärdering!$A$3:$I$30,1)+VLOOKUP(C26,Bullervärdering!$A$3:$I$30,2)-(VLOOKUP($K$15,Bullervärdering!$A$3:$I$30,8)*($K$15)-VLOOKUP($K$15,Bullervärdering!$A$3:$I$30,8)*VLOOKUP($K$15,Bullervärdering!$A$3:$I$30,1)+VLOOKUP($K$15,Bullervärdering!$A$3:$I$30,2)))))</f>
        <v>#N/A</v>
      </c>
      <c r="L26" s="283">
        <f t="shared" si="3"/>
        <v>0</v>
      </c>
      <c r="M26" s="200">
        <f t="shared" si="4"/>
        <v>0</v>
      </c>
      <c r="N26" s="194"/>
      <c r="O26" s="194"/>
      <c r="P26" s="202"/>
      <c r="Q26" s="197"/>
      <c r="R26" s="197"/>
      <c r="S26" s="197"/>
      <c r="T26" s="197"/>
    </row>
    <row r="27" spans="2:45" x14ac:dyDescent="0.25">
      <c r="B27" s="210"/>
      <c r="C27" s="249"/>
      <c r="D27" s="74">
        <v>30</v>
      </c>
      <c r="E27" s="251"/>
      <c r="F27" s="252"/>
      <c r="G27" s="253">
        <f t="shared" si="0"/>
        <v>0</v>
      </c>
      <c r="H27" s="253">
        <f t="shared" si="2"/>
        <v>0</v>
      </c>
      <c r="I27" s="324">
        <f t="shared" si="1"/>
        <v>30</v>
      </c>
      <c r="J27" s="324">
        <f>IF((C27-D27)&gt;25,(F27*(VLOOKUP(C27-D27,Bullervärdering!$E$3:$I$30,3)*(C27-D27)-VLOOKUP(C27-D27,Bullervärdering!$E$3:$I$30,3)*VLOOKUP(C27-D27,Bullervärdering!$E$3:$I$30,1)+VLOOKUP(C27-D27,Bullervärdering!$E$3:$I$30,2)-IF((C27-I27)&gt;25,(VLOOKUP(C27-I27,Bullervärdering!$E$3:$I$30,3)*(C27-I27)-VLOOKUP(C27-I27,Bullervärdering!$E$3:$I$30,3)*VLOOKUP(C27-I27,Bullervärdering!$E$3:$I$30,1)+VLOOKUP(C27-I27,Bullervärdering!$E$3:$I$30,2)),0))),0)</f>
        <v>0</v>
      </c>
      <c r="K27" s="324" t="e">
        <f>IF(AND(C27&gt;=50,E27&gt;=50),(F27*(VLOOKUP(C27,Bullervärdering!$A$3:$I$30,8)*(C27)-VLOOKUP(C27,Bullervärdering!$A$3:$I$30,8)*VLOOKUP(C27,Bullervärdering!$A$3:$I$30,1)+VLOOKUP(C27,Bullervärdering!$A$3:$I$30,2)-(VLOOKUP(E27,Bullervärdering!$A$3:$I$30,8)*(E27)-VLOOKUP(E27,Bullervärdering!$A$3:$I$30,8)*VLOOKUP(E27,Bullervärdering!$A$3:$I$30,1)+VLOOKUP(E27,Bullervärdering!$A$3:$I$30,2)))),(F27*(VLOOKUP(C27,Bullervärdering!$A$3:$I$30,8)*(C27)-VLOOKUP(C27,Bullervärdering!$A$3:$I$30,8)*VLOOKUP(C27,Bullervärdering!$A$3:$I$30,1)+VLOOKUP(C27,Bullervärdering!$A$3:$I$30,2)-(VLOOKUP($K$15,Bullervärdering!$A$3:$I$30,8)*($K$15)-VLOOKUP($K$15,Bullervärdering!$A$3:$I$30,8)*VLOOKUP($K$15,Bullervärdering!$A$3:$I$30,1)+VLOOKUP($K$15,Bullervärdering!$A$3:$I$30,2)))))</f>
        <v>#N/A</v>
      </c>
      <c r="L27" s="283">
        <f t="shared" si="3"/>
        <v>0</v>
      </c>
      <c r="M27" s="200">
        <f t="shared" si="4"/>
        <v>0</v>
      </c>
      <c r="N27" s="194"/>
      <c r="O27" s="194"/>
      <c r="P27" s="202"/>
      <c r="Q27" s="197"/>
      <c r="R27" s="197"/>
      <c r="S27" s="197"/>
      <c r="T27" s="197"/>
    </row>
    <row r="28" spans="2:45" x14ac:dyDescent="0.25">
      <c r="B28" s="210"/>
      <c r="C28" s="249"/>
      <c r="D28" s="74">
        <v>30</v>
      </c>
      <c r="E28" s="251"/>
      <c r="F28" s="252"/>
      <c r="G28" s="253">
        <f t="shared" si="0"/>
        <v>0</v>
      </c>
      <c r="H28" s="253">
        <f t="shared" si="2"/>
        <v>0</v>
      </c>
      <c r="I28" s="324">
        <f t="shared" si="1"/>
        <v>30</v>
      </c>
      <c r="J28" s="324">
        <f>IF((C28-D28)&gt;25,(F28*(VLOOKUP(C28-D28,Bullervärdering!$E$3:$I$30,3)*(C28-D28)-VLOOKUP(C28-D28,Bullervärdering!$E$3:$I$30,3)*VLOOKUP(C28-D28,Bullervärdering!$E$3:$I$30,1)+VLOOKUP(C28-D28,Bullervärdering!$E$3:$I$30,2)-IF((C28-I28)&gt;25,(VLOOKUP(C28-I28,Bullervärdering!$E$3:$I$30,3)*(C28-I28)-VLOOKUP(C28-I28,Bullervärdering!$E$3:$I$30,3)*VLOOKUP(C28-I28,Bullervärdering!$E$3:$I$30,1)+VLOOKUP(C28-I28,Bullervärdering!$E$3:$I$30,2)),0))),0)</f>
        <v>0</v>
      </c>
      <c r="K28" s="324" t="e">
        <f>IF(AND(C28&gt;=50,E28&gt;=50),(F28*(VLOOKUP(C28,Bullervärdering!$A$3:$I$30,8)*(C28)-VLOOKUP(C28,Bullervärdering!$A$3:$I$30,8)*VLOOKUP(C28,Bullervärdering!$A$3:$I$30,1)+VLOOKUP(C28,Bullervärdering!$A$3:$I$30,2)-(VLOOKUP(E28,Bullervärdering!$A$3:$I$30,8)*(E28)-VLOOKUP(E28,Bullervärdering!$A$3:$I$30,8)*VLOOKUP(E28,Bullervärdering!$A$3:$I$30,1)+VLOOKUP(E28,Bullervärdering!$A$3:$I$30,2)))),(F28*(VLOOKUP(C28,Bullervärdering!$A$3:$I$30,8)*(C28)-VLOOKUP(C28,Bullervärdering!$A$3:$I$30,8)*VLOOKUP(C28,Bullervärdering!$A$3:$I$30,1)+VLOOKUP(C28,Bullervärdering!$A$3:$I$30,2)-(VLOOKUP($K$15,Bullervärdering!$A$3:$I$30,8)*($K$15)-VLOOKUP($K$15,Bullervärdering!$A$3:$I$30,8)*VLOOKUP($K$15,Bullervärdering!$A$3:$I$30,1)+VLOOKUP($K$15,Bullervärdering!$A$3:$I$30,2)))))</f>
        <v>#N/A</v>
      </c>
      <c r="L28" s="283">
        <f t="shared" si="3"/>
        <v>0</v>
      </c>
      <c r="M28" s="200">
        <f t="shared" si="4"/>
        <v>0</v>
      </c>
      <c r="N28" s="194"/>
      <c r="O28" s="194"/>
      <c r="P28" s="202"/>
      <c r="Q28" s="197"/>
      <c r="R28" s="197"/>
      <c r="S28" s="197"/>
      <c r="T28" s="197"/>
    </row>
    <row r="29" spans="2:45" x14ac:dyDescent="0.25">
      <c r="B29" s="210"/>
      <c r="C29" s="250"/>
      <c r="D29" s="74">
        <v>30</v>
      </c>
      <c r="E29" s="251"/>
      <c r="F29" s="252"/>
      <c r="G29" s="253">
        <f t="shared" si="0"/>
        <v>0</v>
      </c>
      <c r="H29" s="253">
        <f t="shared" si="2"/>
        <v>0</v>
      </c>
      <c r="I29" s="324">
        <f t="shared" si="1"/>
        <v>30</v>
      </c>
      <c r="J29" s="324">
        <f>IF((C29-D29)&gt;25,(F29*(VLOOKUP(C29-D29,Bullervärdering!$E$3:$I$30,3)*(C29-D29)-VLOOKUP(C29-D29,Bullervärdering!$E$3:$I$30,3)*VLOOKUP(C29-D29,Bullervärdering!$E$3:$I$30,1)+VLOOKUP(C29-D29,Bullervärdering!$E$3:$I$30,2)-IF((C29-I29)&gt;25,(VLOOKUP(C29-I29,Bullervärdering!$E$3:$I$30,3)*(C29-I29)-VLOOKUP(C29-I29,Bullervärdering!$E$3:$I$30,3)*VLOOKUP(C29-I29,Bullervärdering!$E$3:$I$30,1)+VLOOKUP(C29-I29,Bullervärdering!$E$3:$I$30,2)),0))),0)</f>
        <v>0</v>
      </c>
      <c r="K29" s="324" t="e">
        <f>IF(AND(C29&gt;=50,E29&gt;=50),(F29*(VLOOKUP(C29,Bullervärdering!$A$3:$I$30,8)*(C29)-VLOOKUP(C29,Bullervärdering!$A$3:$I$30,8)*VLOOKUP(C29,Bullervärdering!$A$3:$I$30,1)+VLOOKUP(C29,Bullervärdering!$A$3:$I$30,2)-(VLOOKUP(E29,Bullervärdering!$A$3:$I$30,8)*(E29)-VLOOKUP(E29,Bullervärdering!$A$3:$I$30,8)*VLOOKUP(E29,Bullervärdering!$A$3:$I$30,1)+VLOOKUP(E29,Bullervärdering!$A$3:$I$30,2)))),(F29*(VLOOKUP(C29,Bullervärdering!$A$3:$I$30,8)*(C29)-VLOOKUP(C29,Bullervärdering!$A$3:$I$30,8)*VLOOKUP(C29,Bullervärdering!$A$3:$I$30,1)+VLOOKUP(C29,Bullervärdering!$A$3:$I$30,2)-(VLOOKUP($K$15,Bullervärdering!$A$3:$I$30,8)*($K$15)-VLOOKUP($K$15,Bullervärdering!$A$3:$I$30,8)*VLOOKUP($K$15,Bullervärdering!$A$3:$I$30,1)+VLOOKUP($K$15,Bullervärdering!$A$3:$I$30,2)))))</f>
        <v>#N/A</v>
      </c>
      <c r="L29" s="283">
        <f t="shared" si="3"/>
        <v>0</v>
      </c>
      <c r="M29" s="200">
        <f t="shared" si="4"/>
        <v>0</v>
      </c>
      <c r="N29" s="194"/>
      <c r="O29" s="194"/>
      <c r="P29" s="202"/>
      <c r="Q29" s="197"/>
      <c r="R29" s="197"/>
      <c r="S29" s="197"/>
      <c r="T29" s="197"/>
    </row>
    <row r="30" spans="2:45" x14ac:dyDescent="0.25">
      <c r="B30" s="210"/>
      <c r="C30" s="250"/>
      <c r="D30" s="74">
        <v>30</v>
      </c>
      <c r="E30" s="252"/>
      <c r="F30" s="252"/>
      <c r="G30" s="253">
        <f t="shared" si="0"/>
        <v>0</v>
      </c>
      <c r="H30" s="253">
        <f t="shared" si="2"/>
        <v>0</v>
      </c>
      <c r="I30" s="324">
        <f t="shared" si="1"/>
        <v>30</v>
      </c>
      <c r="J30" s="324">
        <f>IF((C30-D30)&gt;25,(F30*(VLOOKUP(C30-D30,Bullervärdering!$E$3:$I$30,3)*(C30-D30)-VLOOKUP(C30-D30,Bullervärdering!$E$3:$I$30,3)*VLOOKUP(C30-D30,Bullervärdering!$E$3:$I$30,1)+VLOOKUP(C30-D30,Bullervärdering!$E$3:$I$30,2)-IF((C30-I30)&gt;25,(VLOOKUP(C30-I30,Bullervärdering!$E$3:$I$30,3)*(C30-I30)-VLOOKUP(C30-I30,Bullervärdering!$E$3:$I$30,3)*VLOOKUP(C30-I30,Bullervärdering!$E$3:$I$30,1)+VLOOKUP(C30-I30,Bullervärdering!$E$3:$I$30,2)),0))),0)</f>
        <v>0</v>
      </c>
      <c r="K30" s="324" t="e">
        <f>IF(AND(C30&gt;=50,E30&gt;=50),(F30*(VLOOKUP(C30,Bullervärdering!$A$3:$I$30,8)*(C30)-VLOOKUP(C30,Bullervärdering!$A$3:$I$30,8)*VLOOKUP(C30,Bullervärdering!$A$3:$I$30,1)+VLOOKUP(C30,Bullervärdering!$A$3:$I$30,2)-(VLOOKUP(E30,Bullervärdering!$A$3:$I$30,8)*(E30)-VLOOKUP(E30,Bullervärdering!$A$3:$I$30,8)*VLOOKUP(E30,Bullervärdering!$A$3:$I$30,1)+VLOOKUP(E30,Bullervärdering!$A$3:$I$30,2)))),(F30*(VLOOKUP(C30,Bullervärdering!$A$3:$I$30,8)*(C30)-VLOOKUP(C30,Bullervärdering!$A$3:$I$30,8)*VLOOKUP(C30,Bullervärdering!$A$3:$I$30,1)+VLOOKUP(C30,Bullervärdering!$A$3:$I$30,2)-(VLOOKUP($K$15,Bullervärdering!$A$3:$I$30,8)*($K$15)-VLOOKUP($K$15,Bullervärdering!$A$3:$I$30,8)*VLOOKUP($K$15,Bullervärdering!$A$3:$I$30,1)+VLOOKUP($K$15,Bullervärdering!$A$3:$I$30,2)))))</f>
        <v>#N/A</v>
      </c>
      <c r="L30" s="283">
        <f t="shared" si="3"/>
        <v>0</v>
      </c>
      <c r="M30" s="200">
        <f t="shared" si="4"/>
        <v>0</v>
      </c>
      <c r="N30" s="194"/>
      <c r="O30" s="194"/>
      <c r="P30" s="202"/>
      <c r="Q30" s="197"/>
      <c r="R30" s="197"/>
      <c r="S30" s="197"/>
      <c r="T30" s="197"/>
    </row>
    <row r="31" spans="2:45" x14ac:dyDescent="0.25">
      <c r="B31" s="210"/>
      <c r="C31" s="250"/>
      <c r="D31" s="74">
        <v>30</v>
      </c>
      <c r="E31" s="252"/>
      <c r="F31" s="252"/>
      <c r="G31" s="253">
        <f t="shared" si="0"/>
        <v>0</v>
      </c>
      <c r="H31" s="253">
        <f t="shared" si="2"/>
        <v>0</v>
      </c>
      <c r="I31" s="324">
        <f t="shared" si="1"/>
        <v>30</v>
      </c>
      <c r="J31" s="324">
        <f>IF((C31-D31)&gt;25,(F31*(VLOOKUP(C31-D31,Bullervärdering!$E$3:$I$30,3)*(C31-D31)-VLOOKUP(C31-D31,Bullervärdering!$E$3:$I$30,3)*VLOOKUP(C31-D31,Bullervärdering!$E$3:$I$30,1)+VLOOKUP(C31-D31,Bullervärdering!$E$3:$I$30,2)-IF((C31-I31)&gt;25,(VLOOKUP(C31-I31,Bullervärdering!$E$3:$I$30,3)*(C31-I31)-VLOOKUP(C31-I31,Bullervärdering!$E$3:$I$30,3)*VLOOKUP(C31-I31,Bullervärdering!$E$3:$I$30,1)+VLOOKUP(C31-I31,Bullervärdering!$E$3:$I$30,2)),0))),0)</f>
        <v>0</v>
      </c>
      <c r="K31" s="324" t="e">
        <f>IF(AND(C31&gt;=50,E31&gt;=50),(F31*(VLOOKUP(C31,Bullervärdering!$A$3:$I$30,8)*(C31)-VLOOKUP(C31,Bullervärdering!$A$3:$I$30,8)*VLOOKUP(C31,Bullervärdering!$A$3:$I$30,1)+VLOOKUP(C31,Bullervärdering!$A$3:$I$30,2)-(VLOOKUP(E31,Bullervärdering!$A$3:$I$30,8)*(E31)-VLOOKUP(E31,Bullervärdering!$A$3:$I$30,8)*VLOOKUP(E31,Bullervärdering!$A$3:$I$30,1)+VLOOKUP(E31,Bullervärdering!$A$3:$I$30,2)))),(F31*(VLOOKUP(C31,Bullervärdering!$A$3:$I$30,8)*(C31)-VLOOKUP(C31,Bullervärdering!$A$3:$I$30,8)*VLOOKUP(C31,Bullervärdering!$A$3:$I$30,1)+VLOOKUP(C31,Bullervärdering!$A$3:$I$30,2)-(VLOOKUP($K$15,Bullervärdering!$A$3:$I$30,8)*($K$15)-VLOOKUP($K$15,Bullervärdering!$A$3:$I$30,8)*VLOOKUP($K$15,Bullervärdering!$A$3:$I$30,1)+VLOOKUP($K$15,Bullervärdering!$A$3:$I$30,2)))))</f>
        <v>#N/A</v>
      </c>
      <c r="L31" s="283">
        <f t="shared" si="3"/>
        <v>0</v>
      </c>
      <c r="M31" s="200">
        <f t="shared" si="4"/>
        <v>0</v>
      </c>
      <c r="N31" s="194"/>
      <c r="O31" s="194"/>
      <c r="P31" s="202"/>
      <c r="Q31" s="197"/>
      <c r="R31" s="197"/>
      <c r="S31" s="197"/>
      <c r="T31" s="197"/>
    </row>
    <row r="32" spans="2:45" x14ac:dyDescent="0.25">
      <c r="B32" s="61" t="s">
        <v>36</v>
      </c>
      <c r="C32" s="61"/>
      <c r="D32" s="61"/>
      <c r="E32" s="61"/>
      <c r="F32" s="82"/>
      <c r="G32" s="81">
        <f>SUM(G17:G31)</f>
        <v>114471.53305809223</v>
      </c>
      <c r="H32" s="81">
        <f>SUM(H17:H31)</f>
        <v>106520.22168296434</v>
      </c>
      <c r="I32" s="324"/>
      <c r="J32" s="326"/>
      <c r="K32" s="324"/>
      <c r="L32" s="283"/>
      <c r="M32" s="194"/>
      <c r="N32" s="194"/>
      <c r="O32" s="194"/>
      <c r="P32" s="202"/>
      <c r="Q32" s="202"/>
      <c r="R32" s="197"/>
      <c r="S32" s="197"/>
      <c r="T32" s="197"/>
      <c r="AR32" s="3"/>
      <c r="AS32" s="3"/>
    </row>
    <row r="33" spans="1:43" s="3" customFormat="1" ht="13" x14ac:dyDescent="0.3">
      <c r="A33" s="34"/>
      <c r="F33" s="40"/>
      <c r="G33" s="40"/>
      <c r="H33" s="40"/>
      <c r="I33" s="283"/>
      <c r="J33" s="283"/>
      <c r="K33" s="283"/>
      <c r="L33" s="283"/>
      <c r="M33" s="194"/>
      <c r="N33" s="202"/>
      <c r="O33" s="202"/>
      <c r="P33" s="202"/>
      <c r="Q33" s="197"/>
      <c r="R33" s="197"/>
      <c r="S33" s="197"/>
      <c r="T33" s="197"/>
      <c r="U33" s="33"/>
      <c r="V33" s="33"/>
      <c r="W33" s="33"/>
      <c r="X33" s="33"/>
    </row>
    <row r="34" spans="1:43" s="1" customFormat="1" ht="13" x14ac:dyDescent="0.3">
      <c r="A34" s="33"/>
      <c r="B34" s="6" t="s">
        <v>293</v>
      </c>
      <c r="C34" s="6"/>
      <c r="D34" s="6"/>
      <c r="E34" s="34"/>
      <c r="F34" s="41"/>
      <c r="G34" s="41"/>
      <c r="H34" s="41"/>
      <c r="I34" s="288"/>
      <c r="J34" s="288"/>
      <c r="K34" s="288"/>
      <c r="L34" s="288"/>
      <c r="M34" s="195"/>
      <c r="N34" s="203"/>
      <c r="O34" s="203"/>
      <c r="P34" s="203"/>
      <c r="Q34" s="196"/>
      <c r="R34" s="196"/>
      <c r="S34" s="196"/>
      <c r="T34" s="196"/>
      <c r="U34" s="34"/>
      <c r="V34" s="34"/>
      <c r="W34" s="34"/>
      <c r="X34" s="34"/>
      <c r="Y34" s="2"/>
      <c r="Z34" s="2"/>
      <c r="AA34" s="2"/>
      <c r="AB34" s="2"/>
      <c r="AC34" s="2"/>
      <c r="AD34" s="2"/>
      <c r="AE34" s="2"/>
      <c r="AF34" s="2"/>
      <c r="AG34" s="2"/>
      <c r="AH34" s="2"/>
      <c r="AI34" s="2"/>
      <c r="AJ34" s="2"/>
      <c r="AK34" s="2"/>
      <c r="AL34" s="2"/>
      <c r="AM34" s="2"/>
      <c r="AN34" s="2"/>
      <c r="AO34" s="2"/>
    </row>
    <row r="35" spans="1:43" x14ac:dyDescent="0.25">
      <c r="B35" s="213" t="s">
        <v>68</v>
      </c>
      <c r="C35" s="254">
        <v>300</v>
      </c>
      <c r="D35" s="213" t="s">
        <v>44</v>
      </c>
      <c r="E35" s="33"/>
      <c r="F35" s="40"/>
      <c r="G35" s="40"/>
      <c r="H35" s="40"/>
      <c r="I35" s="283"/>
      <c r="J35" s="283"/>
      <c r="K35" s="283"/>
      <c r="L35" s="283"/>
      <c r="M35" s="194"/>
      <c r="N35" s="202"/>
      <c r="O35" s="202"/>
      <c r="P35" s="202"/>
      <c r="Q35" s="197"/>
      <c r="R35" s="197"/>
      <c r="S35" s="197"/>
      <c r="T35" s="197"/>
      <c r="AP35"/>
      <c r="AQ35"/>
    </row>
    <row r="36" spans="1:43" x14ac:dyDescent="0.25">
      <c r="B36" s="213" t="s">
        <v>76</v>
      </c>
      <c r="C36" s="255">
        <v>1.7</v>
      </c>
      <c r="D36" s="213" t="s">
        <v>65</v>
      </c>
      <c r="E36" s="33"/>
      <c r="F36" s="319"/>
      <c r="G36" s="40"/>
      <c r="H36" s="40"/>
      <c r="AP36"/>
      <c r="AQ36"/>
    </row>
    <row r="37" spans="1:43" x14ac:dyDescent="0.25">
      <c r="B37" s="212" t="s">
        <v>275</v>
      </c>
      <c r="C37" s="256" t="s">
        <v>217</v>
      </c>
      <c r="D37" s="213"/>
      <c r="E37" s="40"/>
      <c r="F37" s="40"/>
      <c r="G37" s="40"/>
      <c r="H37" s="40"/>
      <c r="AP37"/>
      <c r="AQ37"/>
    </row>
    <row r="38" spans="1:43" ht="13" x14ac:dyDescent="0.3">
      <c r="A38" s="34"/>
      <c r="B38" s="213" t="s">
        <v>66</v>
      </c>
      <c r="C38" s="257">
        <f>IF(C36&gt;4,"Schablonkostnad saknas",(IF(C37=Åtgärdskostnad!B9,C35*Åtgärdskostnad!C9,(C35*C36*VLOOKUP(C37,Åtgärdskostnad!B9:C12,2)))))</f>
        <v>2178210</v>
      </c>
      <c r="D38" s="210" t="s">
        <v>10</v>
      </c>
      <c r="E38" s="40"/>
      <c r="F38" s="40"/>
      <c r="G38" s="40"/>
      <c r="H38" s="40"/>
      <c r="AP38"/>
      <c r="AQ38"/>
    </row>
    <row r="39" spans="1:43" ht="14.5" x14ac:dyDescent="0.25">
      <c r="B39" s="213" t="s">
        <v>67</v>
      </c>
      <c r="C39" s="258">
        <f>Åtgärdskostnad!C14</f>
        <v>83</v>
      </c>
      <c r="D39" s="210" t="s">
        <v>7</v>
      </c>
      <c r="E39" s="33"/>
      <c r="F39" s="40"/>
      <c r="G39" s="40"/>
      <c r="H39" s="40"/>
      <c r="AP39"/>
      <c r="AQ39"/>
    </row>
    <row r="40" spans="1:43" x14ac:dyDescent="0.25">
      <c r="B40" s="213" t="s">
        <v>90</v>
      </c>
      <c r="C40" s="259">
        <f>C35*C36*C39</f>
        <v>42330</v>
      </c>
      <c r="D40" s="210" t="s">
        <v>28</v>
      </c>
      <c r="E40" s="33"/>
      <c r="F40" s="40"/>
      <c r="G40" s="40"/>
      <c r="H40" s="40"/>
      <c r="AP40"/>
      <c r="AQ40"/>
    </row>
    <row r="41" spans="1:43" s="3" customFormat="1" x14ac:dyDescent="0.25">
      <c r="A41" s="33"/>
      <c r="E41" s="33"/>
      <c r="F41" s="40"/>
      <c r="G41" s="40"/>
      <c r="H41" s="40"/>
      <c r="I41" s="40"/>
      <c r="J41" s="40"/>
      <c r="K41" s="40"/>
      <c r="L41" s="40"/>
      <c r="M41" s="40"/>
      <c r="N41" s="37"/>
      <c r="O41" s="37"/>
      <c r="P41" s="37"/>
      <c r="Q41" s="33"/>
      <c r="R41" s="33"/>
      <c r="S41" s="33"/>
      <c r="T41" s="33"/>
      <c r="U41" s="33"/>
      <c r="V41" s="33"/>
      <c r="W41" s="33"/>
      <c r="X41" s="33"/>
    </row>
    <row r="42" spans="1:43" s="1" customFormat="1" ht="13" x14ac:dyDescent="0.3">
      <c r="A42" s="33"/>
      <c r="B42" s="6" t="s">
        <v>5</v>
      </c>
      <c r="C42" s="6"/>
      <c r="D42" s="6"/>
      <c r="E42" s="34"/>
      <c r="F42" s="41"/>
      <c r="G42" s="41"/>
      <c r="H42" s="41"/>
      <c r="I42" s="41"/>
      <c r="J42" s="41"/>
      <c r="K42" s="41"/>
      <c r="L42" s="41"/>
      <c r="M42" s="41"/>
      <c r="N42" s="38"/>
      <c r="O42" s="38"/>
      <c r="P42" s="38"/>
      <c r="Q42" s="34"/>
      <c r="R42" s="34"/>
      <c r="S42" s="34"/>
      <c r="T42" s="34"/>
      <c r="U42" s="34"/>
      <c r="V42" s="34"/>
      <c r="W42" s="34"/>
      <c r="X42" s="34"/>
      <c r="Y42" s="2"/>
      <c r="Z42" s="2"/>
      <c r="AA42" s="2"/>
      <c r="AB42" s="2"/>
      <c r="AC42" s="2"/>
      <c r="AD42" s="2"/>
      <c r="AE42" s="2"/>
      <c r="AF42" s="2"/>
      <c r="AG42" s="2"/>
      <c r="AH42" s="2"/>
      <c r="AI42" s="2"/>
      <c r="AJ42" s="2"/>
      <c r="AK42" s="2"/>
      <c r="AL42" s="2"/>
      <c r="AM42" s="2"/>
      <c r="AN42" s="2"/>
    </row>
    <row r="43" spans="1:43" x14ac:dyDescent="0.25">
      <c r="B43" s="210"/>
      <c r="C43" s="340"/>
      <c r="D43" s="339"/>
      <c r="E43" s="316"/>
      <c r="F43" s="40"/>
      <c r="G43" s="40"/>
      <c r="H43" s="40"/>
      <c r="AO43"/>
      <c r="AP43"/>
      <c r="AQ43"/>
    </row>
    <row r="44" spans="1:43" ht="13" x14ac:dyDescent="0.3">
      <c r="B44" s="210" t="s">
        <v>274</v>
      </c>
      <c r="C44" s="260">
        <f>C38</f>
        <v>2178210</v>
      </c>
      <c r="D44" s="215"/>
      <c r="E44" s="317"/>
      <c r="F44" s="40"/>
      <c r="G44" s="40"/>
      <c r="H44" s="40"/>
      <c r="AO44"/>
      <c r="AP44"/>
      <c r="AQ44"/>
    </row>
    <row r="45" spans="1:43" ht="13" x14ac:dyDescent="0.3">
      <c r="B45" s="17"/>
      <c r="C45" s="20"/>
      <c r="D45" s="20"/>
      <c r="E45" s="317"/>
      <c r="F45" s="40"/>
      <c r="G45" s="40"/>
      <c r="H45" s="40"/>
      <c r="AO45"/>
      <c r="AP45"/>
      <c r="AQ45"/>
    </row>
    <row r="46" spans="1:43" ht="13" x14ac:dyDescent="0.3">
      <c r="B46" s="210"/>
      <c r="C46" s="341" t="s">
        <v>111</v>
      </c>
      <c r="D46" s="339" t="s">
        <v>41</v>
      </c>
      <c r="E46" s="317"/>
      <c r="F46" s="40"/>
      <c r="G46" s="40"/>
      <c r="H46" s="40"/>
      <c r="AO46"/>
      <c r="AP46"/>
      <c r="AQ46"/>
    </row>
    <row r="47" spans="1:43" ht="13" x14ac:dyDescent="0.3">
      <c r="B47" s="210" t="s">
        <v>90</v>
      </c>
      <c r="C47" s="215">
        <f>C40</f>
        <v>42330</v>
      </c>
      <c r="D47" s="215">
        <f>NuvLångSkärm!G64</f>
        <v>903960.21203780547</v>
      </c>
      <c r="E47" s="317"/>
      <c r="F47" s="40"/>
      <c r="G47" s="40"/>
      <c r="H47" s="40"/>
      <c r="AO47"/>
      <c r="AP47"/>
      <c r="AQ47"/>
    </row>
    <row r="48" spans="1:43" ht="13" x14ac:dyDescent="0.3">
      <c r="B48" s="17"/>
      <c r="C48" s="21"/>
      <c r="D48" s="22"/>
      <c r="E48" s="318"/>
      <c r="F48" s="33"/>
      <c r="G48" s="33"/>
      <c r="H48" s="33"/>
      <c r="J48" s="33"/>
      <c r="K48" s="33"/>
      <c r="L48" s="33"/>
      <c r="M48" s="33"/>
      <c r="N48" s="33"/>
      <c r="O48" s="33"/>
      <c r="P48" s="33"/>
      <c r="AN48"/>
      <c r="AO48"/>
      <c r="AP48"/>
      <c r="AQ48"/>
    </row>
    <row r="49" spans="1:43" x14ac:dyDescent="0.25">
      <c r="B49" s="210"/>
      <c r="C49" s="192" t="s">
        <v>139</v>
      </c>
      <c r="D49" s="193" t="s">
        <v>41</v>
      </c>
      <c r="E49" s="316"/>
      <c r="F49" s="40"/>
      <c r="G49" s="40"/>
      <c r="H49" s="40"/>
      <c r="AO49"/>
      <c r="AP49"/>
      <c r="AQ49"/>
    </row>
    <row r="50" spans="1:43" ht="13" x14ac:dyDescent="0.3">
      <c r="B50" s="210" t="s">
        <v>54</v>
      </c>
      <c r="C50" s="217">
        <f>G32</f>
        <v>114471.53305809223</v>
      </c>
      <c r="D50" s="261">
        <f>NuvLångSkärm!C64</f>
        <v>2960995.3804218341</v>
      </c>
      <c r="E50" s="316"/>
      <c r="F50" s="40"/>
      <c r="G50" s="40"/>
      <c r="H50" s="40"/>
      <c r="AO50"/>
      <c r="AP50"/>
      <c r="AQ50"/>
    </row>
    <row r="51" spans="1:43" ht="13" x14ac:dyDescent="0.3">
      <c r="B51" s="210" t="s">
        <v>53</v>
      </c>
      <c r="C51" s="217">
        <f>H32</f>
        <v>106520.22168296434</v>
      </c>
      <c r="D51" s="261">
        <f>NuvLångSkärm!E64</f>
        <v>2755321.5712128552</v>
      </c>
      <c r="E51" s="33"/>
      <c r="F51" s="40"/>
      <c r="G51" s="40"/>
      <c r="H51" s="40"/>
      <c r="AO51"/>
      <c r="AP51"/>
      <c r="AQ51"/>
    </row>
    <row r="52" spans="1:43" ht="13" x14ac:dyDescent="0.3">
      <c r="B52" s="17"/>
      <c r="C52" s="21"/>
      <c r="D52" s="22"/>
      <c r="E52" s="318"/>
      <c r="F52" s="40"/>
      <c r="G52" s="40"/>
      <c r="H52" s="40"/>
      <c r="AO52"/>
      <c r="AP52"/>
      <c r="AQ52"/>
    </row>
    <row r="53" spans="1:43" ht="13" x14ac:dyDescent="0.3">
      <c r="B53" s="210"/>
      <c r="C53" s="193" t="s">
        <v>41</v>
      </c>
      <c r="D53" s="241"/>
      <c r="E53" s="318"/>
      <c r="F53" s="40"/>
      <c r="G53" s="40"/>
      <c r="H53" s="40"/>
      <c r="AO53"/>
      <c r="AP53"/>
      <c r="AQ53"/>
    </row>
    <row r="54" spans="1:43" ht="13" x14ac:dyDescent="0.3">
      <c r="B54" s="210" t="s">
        <v>4</v>
      </c>
      <c r="C54" s="221">
        <f>D50+D51</f>
        <v>5716316.9516346892</v>
      </c>
      <c r="D54" s="241"/>
      <c r="E54" s="318"/>
      <c r="F54" s="40"/>
      <c r="G54" s="40"/>
      <c r="H54" s="40"/>
      <c r="AO54"/>
      <c r="AP54"/>
      <c r="AQ54"/>
    </row>
    <row r="55" spans="1:43" ht="13" x14ac:dyDescent="0.3">
      <c r="B55" s="219" t="s">
        <v>314</v>
      </c>
      <c r="C55" s="222">
        <f>+C44+D47</f>
        <v>3082170.2120378055</v>
      </c>
      <c r="D55" s="241"/>
      <c r="E55" s="318"/>
      <c r="F55" s="40"/>
      <c r="G55" s="40"/>
      <c r="H55" s="40"/>
      <c r="AO55"/>
      <c r="AP55"/>
      <c r="AQ55"/>
    </row>
    <row r="56" spans="1:43" ht="13" x14ac:dyDescent="0.3">
      <c r="B56" s="219" t="s">
        <v>315</v>
      </c>
      <c r="C56" s="222">
        <f>+C55*C11</f>
        <v>616434.04240756109</v>
      </c>
      <c r="D56" s="241"/>
      <c r="E56" s="318"/>
      <c r="F56" s="40"/>
      <c r="G56" s="40"/>
      <c r="H56" s="40"/>
      <c r="AO56"/>
      <c r="AP56"/>
      <c r="AQ56"/>
    </row>
    <row r="57" spans="1:43" s="3" customFormat="1" x14ac:dyDescent="0.25">
      <c r="A57" s="33"/>
      <c r="D57" s="18"/>
      <c r="E57" s="271"/>
      <c r="F57" s="40"/>
      <c r="G57" s="40"/>
      <c r="H57" s="40"/>
      <c r="I57" s="314"/>
      <c r="J57" s="40"/>
      <c r="K57" s="40"/>
      <c r="L57" s="40"/>
      <c r="M57" s="40"/>
      <c r="N57" s="37"/>
      <c r="O57" s="37"/>
      <c r="P57" s="37"/>
      <c r="Q57" s="33"/>
      <c r="R57" s="33"/>
      <c r="S57" s="33"/>
      <c r="T57" s="33"/>
      <c r="U57" s="33"/>
      <c r="V57" s="33"/>
      <c r="W57" s="33"/>
      <c r="X57" s="33"/>
    </row>
    <row r="58" spans="1:43" s="5" customFormat="1" ht="17.5" x14ac:dyDescent="0.35">
      <c r="A58" s="33"/>
      <c r="B58" s="71" t="s">
        <v>267</v>
      </c>
      <c r="C58" s="352">
        <f>C54-C55-C56</f>
        <v>2017712.6971893227</v>
      </c>
      <c r="D58" s="14"/>
      <c r="E58" s="272"/>
      <c r="F58" s="39"/>
      <c r="G58" s="39"/>
      <c r="H58" s="39"/>
      <c r="I58" s="315"/>
      <c r="J58" s="39"/>
      <c r="K58" s="39"/>
      <c r="L58" s="39"/>
      <c r="M58" s="39"/>
      <c r="N58" s="36"/>
      <c r="O58" s="36"/>
      <c r="P58" s="36"/>
      <c r="Q58" s="31"/>
      <c r="R58" s="31"/>
      <c r="S58" s="31"/>
      <c r="T58" s="31"/>
      <c r="U58" s="31"/>
      <c r="V58" s="31"/>
      <c r="W58" s="31"/>
      <c r="X58" s="31"/>
      <c r="Y58" s="4"/>
      <c r="Z58" s="4"/>
      <c r="AA58" s="4"/>
      <c r="AB58" s="4"/>
      <c r="AC58" s="4"/>
      <c r="AD58" s="4"/>
      <c r="AE58" s="4"/>
      <c r="AF58" s="4"/>
      <c r="AG58" s="4"/>
      <c r="AH58" s="4"/>
      <c r="AI58" s="4"/>
      <c r="AJ58" s="4"/>
      <c r="AK58" s="4"/>
      <c r="AL58" s="4"/>
      <c r="AM58" s="4"/>
      <c r="AN58" s="4"/>
      <c r="AO58" s="4"/>
      <c r="AP58" s="4"/>
      <c r="AQ58" s="4"/>
    </row>
    <row r="59" spans="1:43" s="3" customFormat="1" x14ac:dyDescent="0.25">
      <c r="A59" s="33"/>
      <c r="C59" s="45"/>
      <c r="E59" s="33"/>
      <c r="F59" s="40"/>
      <c r="G59" s="40"/>
      <c r="H59" s="40"/>
      <c r="I59" s="40"/>
      <c r="J59" s="40"/>
      <c r="K59" s="40"/>
      <c r="L59" s="40"/>
      <c r="M59" s="40"/>
      <c r="N59" s="37"/>
      <c r="O59" s="37"/>
      <c r="P59" s="37"/>
      <c r="Q59" s="33"/>
      <c r="R59" s="33"/>
      <c r="S59" s="33"/>
      <c r="T59" s="33"/>
      <c r="U59" s="33"/>
      <c r="V59" s="33"/>
      <c r="W59" s="33"/>
      <c r="X59" s="33"/>
    </row>
    <row r="60" spans="1:43" s="3" customFormat="1" ht="17.5" x14ac:dyDescent="0.35">
      <c r="A60" s="33"/>
      <c r="B60" s="71" t="s">
        <v>268</v>
      </c>
      <c r="C60" s="353">
        <f>+C58/C55</f>
        <v>0.65464025617692712</v>
      </c>
      <c r="E60" s="33"/>
      <c r="F60" s="40"/>
      <c r="G60" s="40"/>
      <c r="H60" s="40"/>
      <c r="I60" s="40"/>
      <c r="J60" s="40"/>
      <c r="K60" s="40"/>
      <c r="L60" s="40"/>
      <c r="M60" s="40"/>
      <c r="N60" s="37"/>
      <c r="O60" s="37"/>
      <c r="P60" s="37"/>
      <c r="Q60" s="33"/>
      <c r="R60" s="33"/>
      <c r="S60" s="33"/>
      <c r="T60" s="33"/>
      <c r="U60" s="33"/>
      <c r="V60" s="33"/>
      <c r="W60" s="33"/>
      <c r="X60" s="33"/>
    </row>
    <row r="61" spans="1:43" s="3" customFormat="1" ht="17.5" x14ac:dyDescent="0.35">
      <c r="A61" s="33"/>
      <c r="B61" s="189"/>
      <c r="C61" s="351"/>
      <c r="E61" s="33"/>
      <c r="F61" s="40"/>
      <c r="G61" s="40"/>
      <c r="H61" s="40"/>
      <c r="I61" s="40"/>
      <c r="J61" s="40"/>
      <c r="K61" s="40"/>
      <c r="L61" s="40"/>
      <c r="M61" s="40"/>
      <c r="N61" s="37"/>
      <c r="O61" s="37"/>
      <c r="P61" s="37"/>
      <c r="Q61" s="33"/>
      <c r="R61" s="33"/>
      <c r="S61" s="33"/>
      <c r="T61" s="33"/>
      <c r="U61" s="33"/>
      <c r="V61" s="33"/>
      <c r="W61" s="33"/>
      <c r="X61" s="33"/>
    </row>
    <row r="62" spans="1:43" s="3" customFormat="1" ht="17.5" x14ac:dyDescent="0.35">
      <c r="A62" s="33"/>
      <c r="B62" s="71" t="s">
        <v>277</v>
      </c>
      <c r="C62" s="353">
        <f>+(C54-C56)/C55</f>
        <v>1.6546402561769271</v>
      </c>
      <c r="E62" s="33"/>
      <c r="F62" s="40"/>
      <c r="G62" s="40"/>
      <c r="H62" s="40"/>
      <c r="I62" s="40"/>
      <c r="J62" s="40"/>
      <c r="K62" s="40"/>
      <c r="L62" s="40"/>
      <c r="M62" s="40"/>
      <c r="N62" s="37"/>
      <c r="O62" s="37"/>
      <c r="P62" s="37"/>
      <c r="Q62" s="33"/>
      <c r="R62" s="33"/>
      <c r="S62" s="33"/>
      <c r="T62" s="33"/>
      <c r="U62" s="33"/>
      <c r="V62" s="33"/>
      <c r="W62" s="33"/>
      <c r="X62" s="33"/>
    </row>
    <row r="63" spans="1:43" s="3" customFormat="1" x14ac:dyDescent="0.25">
      <c r="A63" s="33"/>
      <c r="E63" s="33"/>
      <c r="F63" s="40"/>
      <c r="G63" s="40"/>
      <c r="H63" s="40"/>
      <c r="I63" s="40"/>
      <c r="J63" s="40"/>
      <c r="K63" s="40"/>
      <c r="L63" s="40"/>
      <c r="M63" s="40"/>
      <c r="N63" s="37"/>
      <c r="O63" s="37"/>
      <c r="P63" s="37"/>
      <c r="Q63" s="33"/>
      <c r="R63" s="33"/>
      <c r="S63" s="33"/>
      <c r="T63" s="33"/>
      <c r="U63" s="33"/>
      <c r="V63" s="33"/>
      <c r="W63" s="33"/>
      <c r="X63" s="33"/>
    </row>
    <row r="64" spans="1:43" s="3" customFormat="1" x14ac:dyDescent="0.25">
      <c r="A64" s="33"/>
      <c r="E64" s="33"/>
      <c r="F64" s="40"/>
      <c r="G64" s="40"/>
      <c r="H64" s="40"/>
      <c r="I64" s="40"/>
      <c r="J64" s="40"/>
      <c r="K64" s="40"/>
      <c r="L64" s="40"/>
      <c r="M64" s="40"/>
      <c r="N64" s="37"/>
      <c r="O64" s="37"/>
      <c r="P64" s="37"/>
      <c r="Q64" s="33"/>
      <c r="R64" s="33"/>
      <c r="S64" s="33"/>
      <c r="T64" s="33"/>
      <c r="U64" s="33"/>
      <c r="V64" s="33"/>
      <c r="W64" s="33"/>
      <c r="X64" s="33"/>
    </row>
    <row r="65" spans="1:24" s="3" customFormat="1" x14ac:dyDescent="0.25">
      <c r="A65" s="33"/>
      <c r="E65" s="33"/>
      <c r="F65" s="40"/>
      <c r="G65" s="40"/>
      <c r="H65" s="40"/>
      <c r="I65" s="40"/>
      <c r="J65" s="40"/>
      <c r="K65" s="40"/>
      <c r="L65" s="40"/>
      <c r="M65" s="40"/>
      <c r="N65" s="37"/>
      <c r="O65" s="37"/>
      <c r="P65" s="37"/>
      <c r="Q65" s="33"/>
      <c r="R65" s="33"/>
      <c r="S65" s="33"/>
      <c r="T65" s="33"/>
      <c r="U65" s="33"/>
      <c r="V65" s="33"/>
      <c r="W65" s="33"/>
      <c r="X65" s="33"/>
    </row>
    <row r="66" spans="1:24" s="3" customFormat="1" x14ac:dyDescent="0.25">
      <c r="A66" s="33"/>
      <c r="E66" s="33"/>
      <c r="F66" s="40"/>
      <c r="G66" s="40"/>
      <c r="H66" s="40"/>
      <c r="I66" s="40"/>
      <c r="J66" s="40"/>
      <c r="K66" s="40"/>
      <c r="L66" s="40"/>
      <c r="M66" s="40"/>
      <c r="N66" s="37"/>
      <c r="O66" s="37"/>
      <c r="P66" s="37"/>
      <c r="Q66" s="33"/>
      <c r="R66" s="33"/>
      <c r="S66" s="33"/>
      <c r="T66" s="33"/>
      <c r="U66" s="33"/>
      <c r="V66" s="33"/>
      <c r="W66" s="33"/>
      <c r="X66" s="33"/>
    </row>
    <row r="67" spans="1:24" s="3" customFormat="1" x14ac:dyDescent="0.25">
      <c r="A67" s="33"/>
      <c r="F67" s="40"/>
      <c r="G67" s="40"/>
      <c r="H67" s="40"/>
      <c r="I67" s="40"/>
      <c r="J67" s="40"/>
      <c r="K67" s="40"/>
      <c r="L67" s="40"/>
      <c r="M67" s="40"/>
      <c r="N67" s="37"/>
      <c r="O67" s="37"/>
      <c r="P67" s="37"/>
      <c r="Q67" s="33"/>
      <c r="R67" s="33"/>
      <c r="S67" s="33"/>
      <c r="T67" s="33"/>
      <c r="U67" s="33"/>
      <c r="V67" s="33"/>
      <c r="W67" s="33"/>
      <c r="X67" s="33"/>
    </row>
    <row r="68" spans="1:24" s="3" customFormat="1" x14ac:dyDescent="0.25">
      <c r="A68" s="33"/>
      <c r="F68" s="40"/>
      <c r="G68" s="40"/>
      <c r="H68" s="40"/>
      <c r="I68" s="40"/>
      <c r="J68" s="40"/>
      <c r="K68" s="40"/>
      <c r="L68" s="40"/>
      <c r="M68" s="40"/>
      <c r="N68" s="37"/>
      <c r="O68" s="37"/>
      <c r="P68" s="37"/>
      <c r="Q68" s="33"/>
      <c r="R68" s="33"/>
      <c r="S68" s="33"/>
      <c r="T68" s="33"/>
      <c r="U68" s="33"/>
      <c r="V68" s="33"/>
      <c r="W68" s="33"/>
      <c r="X68" s="33"/>
    </row>
    <row r="69" spans="1:24" s="3" customFormat="1" x14ac:dyDescent="0.25">
      <c r="A69" s="33"/>
      <c r="F69" s="40"/>
      <c r="G69" s="40"/>
      <c r="H69" s="40"/>
      <c r="I69" s="40"/>
      <c r="J69" s="40"/>
      <c r="K69" s="40"/>
      <c r="L69" s="40"/>
      <c r="M69" s="40"/>
      <c r="N69" s="37"/>
      <c r="O69" s="37"/>
      <c r="P69" s="37"/>
      <c r="Q69" s="33"/>
      <c r="R69" s="33"/>
      <c r="S69" s="33"/>
      <c r="T69" s="33"/>
      <c r="U69" s="33"/>
      <c r="V69" s="33"/>
      <c r="W69" s="33"/>
      <c r="X69" s="33"/>
    </row>
    <row r="70" spans="1:24" s="3" customFormat="1" x14ac:dyDescent="0.25">
      <c r="A70" s="33"/>
      <c r="F70" s="40"/>
      <c r="G70" s="40"/>
      <c r="H70" s="40"/>
      <c r="I70" s="40"/>
      <c r="J70" s="40"/>
      <c r="K70" s="40"/>
      <c r="L70" s="40"/>
      <c r="M70" s="40"/>
      <c r="N70" s="37"/>
      <c r="O70" s="37"/>
      <c r="P70" s="37"/>
      <c r="Q70" s="33"/>
      <c r="R70" s="33"/>
      <c r="S70" s="33"/>
      <c r="T70" s="33"/>
      <c r="U70" s="33"/>
      <c r="V70" s="33"/>
      <c r="W70" s="33"/>
      <c r="X70" s="33"/>
    </row>
    <row r="71" spans="1:24" s="3" customFormat="1" x14ac:dyDescent="0.25">
      <c r="A71" s="33"/>
      <c r="F71" s="40"/>
      <c r="G71" s="40"/>
      <c r="H71" s="40"/>
      <c r="I71" s="40"/>
      <c r="J71" s="40"/>
      <c r="K71" s="40"/>
      <c r="L71" s="40"/>
      <c r="M71" s="40"/>
      <c r="N71" s="37"/>
      <c r="O71" s="37"/>
      <c r="P71" s="37"/>
      <c r="Q71" s="33"/>
      <c r="R71" s="33"/>
      <c r="S71" s="33"/>
      <c r="T71" s="33"/>
      <c r="U71" s="33"/>
      <c r="V71" s="33"/>
      <c r="W71" s="33"/>
      <c r="X71" s="33"/>
    </row>
    <row r="72" spans="1:24" s="3" customFormat="1" x14ac:dyDescent="0.25">
      <c r="A72" s="33"/>
      <c r="F72" s="40"/>
      <c r="G72" s="40"/>
      <c r="H72" s="40"/>
      <c r="I72" s="40"/>
      <c r="J72" s="40"/>
      <c r="K72" s="40"/>
      <c r="L72" s="40"/>
      <c r="M72" s="40"/>
      <c r="N72" s="37"/>
      <c r="O72" s="37"/>
      <c r="P72" s="37"/>
      <c r="Q72" s="33"/>
      <c r="R72" s="33"/>
      <c r="S72" s="33"/>
      <c r="T72" s="33"/>
      <c r="U72" s="33"/>
      <c r="V72" s="33"/>
      <c r="W72" s="33"/>
      <c r="X72" s="33"/>
    </row>
    <row r="73" spans="1:24" s="3" customFormat="1" x14ac:dyDescent="0.25">
      <c r="A73" s="33"/>
      <c r="F73" s="40"/>
      <c r="G73" s="40"/>
      <c r="H73" s="40"/>
      <c r="I73" s="40"/>
      <c r="J73" s="40"/>
      <c r="K73" s="40"/>
      <c r="L73" s="40"/>
      <c r="M73" s="40"/>
      <c r="N73" s="37"/>
      <c r="O73" s="37"/>
      <c r="P73" s="37"/>
      <c r="Q73" s="33"/>
      <c r="R73" s="33"/>
      <c r="S73" s="33"/>
      <c r="T73" s="33"/>
      <c r="U73" s="33"/>
      <c r="V73" s="33"/>
      <c r="W73" s="33"/>
      <c r="X73" s="33"/>
    </row>
    <row r="74" spans="1:24" s="3" customFormat="1" x14ac:dyDescent="0.25">
      <c r="A74" s="33"/>
      <c r="F74" s="40"/>
      <c r="G74" s="40"/>
      <c r="H74" s="40"/>
      <c r="I74" s="40"/>
      <c r="J74" s="40"/>
      <c r="K74" s="40"/>
      <c r="L74" s="40"/>
      <c r="M74" s="40"/>
      <c r="N74" s="37"/>
      <c r="O74" s="37"/>
      <c r="P74" s="37"/>
      <c r="Q74" s="33"/>
      <c r="R74" s="33"/>
      <c r="S74" s="33"/>
      <c r="T74" s="33"/>
      <c r="U74" s="33"/>
      <c r="V74" s="33"/>
      <c r="W74" s="33"/>
      <c r="X74" s="33"/>
    </row>
    <row r="75" spans="1:24" s="3" customFormat="1" x14ac:dyDescent="0.25">
      <c r="A75" s="33"/>
      <c r="F75" s="40"/>
      <c r="G75" s="40"/>
      <c r="H75" s="40"/>
      <c r="I75" s="40"/>
      <c r="J75" s="40"/>
      <c r="K75" s="40"/>
      <c r="L75" s="40"/>
      <c r="M75" s="40"/>
      <c r="N75" s="37"/>
      <c r="O75" s="37"/>
      <c r="P75" s="37"/>
      <c r="Q75" s="33"/>
      <c r="R75" s="33"/>
      <c r="S75" s="33"/>
      <c r="T75" s="33"/>
      <c r="U75" s="33"/>
      <c r="V75" s="33"/>
      <c r="W75" s="33"/>
      <c r="X75" s="33"/>
    </row>
    <row r="76" spans="1:24" s="3" customFormat="1" x14ac:dyDescent="0.25">
      <c r="A76" s="33"/>
      <c r="F76" s="40"/>
      <c r="G76" s="40"/>
      <c r="H76" s="40"/>
      <c r="I76" s="40"/>
      <c r="J76" s="40"/>
      <c r="K76" s="40"/>
      <c r="L76" s="40"/>
      <c r="M76" s="40"/>
      <c r="N76" s="37"/>
      <c r="O76" s="37"/>
      <c r="P76" s="37"/>
      <c r="Q76" s="33"/>
      <c r="R76" s="33"/>
      <c r="S76" s="33"/>
      <c r="T76" s="33"/>
      <c r="U76" s="33"/>
      <c r="V76" s="33"/>
      <c r="W76" s="33"/>
      <c r="X76" s="33"/>
    </row>
    <row r="77" spans="1:24" s="3" customFormat="1" x14ac:dyDescent="0.25">
      <c r="A77" s="33"/>
      <c r="F77" s="40"/>
      <c r="G77" s="40"/>
      <c r="H77" s="40"/>
      <c r="I77" s="40"/>
      <c r="J77" s="40"/>
      <c r="K77" s="40"/>
      <c r="L77" s="40"/>
      <c r="M77" s="40"/>
      <c r="N77" s="37"/>
      <c r="O77" s="37"/>
      <c r="P77" s="37"/>
      <c r="Q77" s="33"/>
      <c r="R77" s="33"/>
      <c r="S77" s="33"/>
      <c r="T77" s="33"/>
      <c r="U77" s="33"/>
      <c r="V77" s="33"/>
      <c r="W77" s="33"/>
      <c r="X77" s="33"/>
    </row>
    <row r="78" spans="1:24" s="3" customFormat="1" x14ac:dyDescent="0.25">
      <c r="A78" s="33"/>
      <c r="F78" s="40"/>
      <c r="G78" s="40"/>
      <c r="H78" s="40"/>
      <c r="I78" s="40"/>
      <c r="J78" s="40"/>
      <c r="K78" s="40"/>
      <c r="L78" s="40"/>
      <c r="M78" s="40"/>
      <c r="N78" s="37"/>
      <c r="O78" s="37"/>
      <c r="P78" s="37"/>
      <c r="Q78" s="33"/>
      <c r="R78" s="33"/>
      <c r="S78" s="33"/>
      <c r="T78" s="33"/>
      <c r="U78" s="33"/>
      <c r="V78" s="33"/>
      <c r="W78" s="33"/>
      <c r="X78" s="33"/>
    </row>
    <row r="79" spans="1:24" s="3" customFormat="1" x14ac:dyDescent="0.25">
      <c r="A79" s="33"/>
      <c r="F79" s="40"/>
      <c r="G79" s="40"/>
      <c r="H79" s="40"/>
      <c r="I79" s="40"/>
      <c r="J79" s="40"/>
      <c r="K79" s="40"/>
      <c r="L79" s="40"/>
      <c r="M79" s="40"/>
      <c r="N79" s="37"/>
      <c r="O79" s="37"/>
      <c r="P79" s="37"/>
      <c r="Q79" s="33"/>
      <c r="R79" s="33"/>
      <c r="S79" s="33"/>
      <c r="T79" s="33"/>
      <c r="U79" s="33"/>
      <c r="V79" s="33"/>
      <c r="W79" s="33"/>
      <c r="X79" s="33"/>
    </row>
    <row r="80" spans="1:24" s="3" customFormat="1" x14ac:dyDescent="0.25">
      <c r="A80" s="33"/>
      <c r="F80" s="40"/>
      <c r="G80" s="40"/>
      <c r="H80" s="40"/>
      <c r="I80" s="40"/>
      <c r="J80" s="40"/>
      <c r="K80" s="40"/>
      <c r="L80" s="40"/>
      <c r="M80" s="40"/>
      <c r="N80" s="37"/>
      <c r="O80" s="37"/>
      <c r="P80" s="37"/>
      <c r="Q80" s="33"/>
      <c r="R80" s="33"/>
      <c r="S80" s="33"/>
      <c r="T80" s="33"/>
      <c r="U80" s="33"/>
      <c r="V80" s="33"/>
      <c r="W80" s="33"/>
      <c r="X80" s="33"/>
    </row>
    <row r="81" spans="1:24" s="3" customFormat="1" x14ac:dyDescent="0.25">
      <c r="A81" s="33"/>
      <c r="F81" s="40"/>
      <c r="G81" s="40"/>
      <c r="H81" s="40"/>
      <c r="I81" s="40"/>
      <c r="J81" s="40"/>
      <c r="K81" s="40"/>
      <c r="L81" s="40"/>
      <c r="M81" s="40"/>
      <c r="N81" s="37"/>
      <c r="O81" s="37"/>
      <c r="P81" s="37"/>
      <c r="Q81" s="33"/>
      <c r="R81" s="33"/>
      <c r="S81" s="33"/>
      <c r="T81" s="33"/>
      <c r="U81" s="33"/>
      <c r="V81" s="33"/>
      <c r="W81" s="33"/>
      <c r="X81" s="33"/>
    </row>
    <row r="82" spans="1:24" s="3" customFormat="1" x14ac:dyDescent="0.25">
      <c r="A82" s="33"/>
      <c r="F82" s="40"/>
      <c r="G82" s="40"/>
      <c r="H82" s="40"/>
      <c r="I82" s="40"/>
      <c r="J82" s="40"/>
      <c r="K82" s="40"/>
      <c r="L82" s="40"/>
      <c r="M82" s="40"/>
      <c r="N82" s="37"/>
      <c r="O82" s="37"/>
      <c r="P82" s="37"/>
      <c r="Q82" s="33"/>
      <c r="R82" s="33"/>
      <c r="S82" s="33"/>
      <c r="T82" s="33"/>
      <c r="U82" s="33"/>
      <c r="V82" s="33"/>
      <c r="W82" s="33"/>
      <c r="X82" s="33"/>
    </row>
    <row r="83" spans="1:24" s="3" customFormat="1" x14ac:dyDescent="0.25">
      <c r="A83" s="33"/>
      <c r="F83" s="40"/>
      <c r="G83" s="40"/>
      <c r="H83" s="40"/>
      <c r="I83" s="40"/>
      <c r="J83" s="40"/>
      <c r="K83" s="40"/>
      <c r="L83" s="40"/>
      <c r="M83" s="40"/>
      <c r="N83" s="37"/>
      <c r="O83" s="37"/>
      <c r="P83" s="37"/>
      <c r="Q83" s="33"/>
      <c r="R83" s="33"/>
      <c r="S83" s="33"/>
      <c r="T83" s="33"/>
      <c r="U83" s="33"/>
      <c r="V83" s="33"/>
      <c r="W83" s="33"/>
      <c r="X83" s="33"/>
    </row>
    <row r="84" spans="1:24" s="3" customFormat="1" x14ac:dyDescent="0.25">
      <c r="A84" s="33"/>
      <c r="F84" s="40"/>
      <c r="G84" s="40"/>
      <c r="H84" s="40"/>
      <c r="I84" s="40"/>
      <c r="J84" s="40"/>
      <c r="K84" s="40"/>
      <c r="L84" s="40"/>
      <c r="M84" s="40"/>
      <c r="N84" s="37"/>
      <c r="O84" s="37"/>
      <c r="P84" s="37"/>
      <c r="Q84" s="33"/>
      <c r="R84" s="33"/>
      <c r="S84" s="33"/>
      <c r="T84" s="33"/>
      <c r="U84" s="33"/>
      <c r="V84" s="33"/>
      <c r="W84" s="33"/>
      <c r="X84" s="33"/>
    </row>
    <row r="85" spans="1:24" s="3" customFormat="1" x14ac:dyDescent="0.25">
      <c r="A85" s="33"/>
      <c r="F85" s="40"/>
      <c r="G85" s="40"/>
      <c r="H85" s="40"/>
      <c r="I85" s="40"/>
      <c r="J85" s="40"/>
      <c r="K85" s="40"/>
      <c r="L85" s="40"/>
      <c r="M85" s="40"/>
      <c r="N85" s="37"/>
      <c r="O85" s="37"/>
      <c r="P85" s="37"/>
      <c r="Q85" s="33"/>
      <c r="R85" s="33"/>
      <c r="S85" s="33"/>
      <c r="T85" s="33"/>
      <c r="U85" s="33"/>
      <c r="V85" s="33"/>
      <c r="W85" s="33"/>
      <c r="X85" s="33"/>
    </row>
    <row r="86" spans="1:24" s="3" customFormat="1" x14ac:dyDescent="0.25">
      <c r="A86" s="33"/>
      <c r="F86" s="40"/>
      <c r="G86" s="40"/>
      <c r="H86" s="40"/>
      <c r="I86" s="40"/>
      <c r="J86" s="40"/>
      <c r="K86" s="40"/>
      <c r="L86" s="40"/>
      <c r="M86" s="40"/>
      <c r="N86" s="37"/>
      <c r="O86" s="37"/>
      <c r="P86" s="37"/>
      <c r="Q86" s="33"/>
      <c r="R86" s="33"/>
      <c r="S86" s="33"/>
      <c r="T86" s="33"/>
      <c r="U86" s="33"/>
      <c r="V86" s="33"/>
      <c r="W86" s="33"/>
      <c r="X86" s="33"/>
    </row>
    <row r="87" spans="1:24" s="3" customFormat="1" x14ac:dyDescent="0.25">
      <c r="A87" s="33"/>
      <c r="F87" s="40"/>
      <c r="G87" s="40"/>
      <c r="H87" s="40"/>
      <c r="I87" s="40"/>
      <c r="J87" s="40"/>
      <c r="K87" s="40"/>
      <c r="L87" s="40"/>
      <c r="M87" s="40"/>
      <c r="N87" s="37"/>
      <c r="O87" s="37"/>
      <c r="P87" s="37"/>
      <c r="Q87" s="33"/>
      <c r="R87" s="33"/>
      <c r="S87" s="33"/>
      <c r="T87" s="33"/>
      <c r="U87" s="33"/>
      <c r="V87" s="33"/>
      <c r="W87" s="33"/>
      <c r="X87" s="33"/>
    </row>
    <row r="88" spans="1:24" s="3" customFormat="1" x14ac:dyDescent="0.25">
      <c r="A88" s="33"/>
      <c r="F88" s="40"/>
      <c r="G88" s="40"/>
      <c r="H88" s="40"/>
      <c r="I88" s="40"/>
      <c r="J88" s="40"/>
      <c r="K88" s="40"/>
      <c r="L88" s="40"/>
      <c r="M88" s="40"/>
      <c r="N88" s="37"/>
      <c r="O88" s="37"/>
      <c r="P88" s="37"/>
      <c r="Q88" s="33"/>
      <c r="R88" s="33"/>
      <c r="S88" s="33"/>
      <c r="T88" s="33"/>
      <c r="U88" s="33"/>
      <c r="V88" s="33"/>
      <c r="W88" s="33"/>
      <c r="X88" s="33"/>
    </row>
    <row r="89" spans="1:24" s="3" customFormat="1" x14ac:dyDescent="0.25">
      <c r="A89" s="33"/>
      <c r="F89" s="40"/>
      <c r="G89" s="40"/>
      <c r="H89" s="40"/>
      <c r="I89" s="40"/>
      <c r="J89" s="40"/>
      <c r="K89" s="40"/>
      <c r="L89" s="40"/>
      <c r="M89" s="40"/>
      <c r="N89" s="37"/>
      <c r="O89" s="37"/>
      <c r="P89" s="37"/>
      <c r="Q89" s="33"/>
      <c r="R89" s="33"/>
      <c r="S89" s="33"/>
      <c r="T89" s="33"/>
      <c r="U89" s="33"/>
      <c r="V89" s="33"/>
      <c r="W89" s="33"/>
      <c r="X89" s="33"/>
    </row>
    <row r="90" spans="1:24" x14ac:dyDescent="0.25">
      <c r="F90" s="40"/>
      <c r="G90" s="40"/>
      <c r="H90" s="40"/>
    </row>
    <row r="91" spans="1:24" x14ac:dyDescent="0.25">
      <c r="F91" s="40"/>
      <c r="G91" s="40"/>
      <c r="H91" s="40"/>
    </row>
  </sheetData>
  <conditionalFormatting sqref="C60:C61">
    <cfRule type="cellIs" dxfId="8" priority="11" operator="lessThan">
      <formula>0</formula>
    </cfRule>
  </conditionalFormatting>
  <conditionalFormatting sqref="C31">
    <cfRule type="iconSet" priority="9">
      <iconSet iconSet="3Symbols" reverse="1">
        <cfvo type="percent" val="0"/>
        <cfvo type="num" val="75.001000000000005"/>
        <cfvo type="num" val="75.001999999999995"/>
      </iconSet>
    </cfRule>
  </conditionalFormatting>
  <conditionalFormatting sqref="C22:C30">
    <cfRule type="iconSet" priority="4">
      <iconSet iconSet="3Symbols" reverse="1">
        <cfvo type="percent" val="0"/>
        <cfvo type="num" val="75.001000000000005"/>
        <cfvo type="num" val="75.001999999999995"/>
      </iconSet>
    </cfRule>
  </conditionalFormatting>
  <conditionalFormatting sqref="C17:C21">
    <cfRule type="iconSet" priority="3">
      <iconSet iconSet="3Symbols" reverse="1">
        <cfvo type="percent" val="0"/>
        <cfvo type="num" val="75.001000000000005"/>
        <cfvo type="num" val="75.001999999999995"/>
      </iconSet>
    </cfRule>
  </conditionalFormatting>
  <conditionalFormatting sqref="C58">
    <cfRule type="cellIs" dxfId="7" priority="2" operator="lessThan">
      <formula>0</formula>
    </cfRule>
  </conditionalFormatting>
  <conditionalFormatting sqref="C62">
    <cfRule type="cellIs" dxfId="6" priority="1" operator="lessThan">
      <formula>0</formula>
    </cfRule>
  </conditionalFormatting>
  <dataValidations count="1">
    <dataValidation type="decimal" allowBlank="1" showInputMessage="1" showErrorMessage="1" errorTitle="Felaktigt värde" error="För hög dBA" sqref="C17:C31" xr:uid="{00000000-0002-0000-0300-000000000000}">
      <formula1>0</formula1>
      <formula2>75</formula2>
    </dataValidation>
  </dataValidations>
  <pageMargins left="0.75" right="0.75" top="1" bottom="1" header="0.5" footer="0.5"/>
  <pageSetup paperSize="9" orientation="landscape" horizontalDpi="300" verticalDpi="300"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Åtgärdskostnad!$B$9:$B$12</xm:f>
          </x14:formula1>
          <xm:sqref>C37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222"/>
  <sheetViews>
    <sheetView topLeftCell="B1" zoomScaleNormal="100" workbookViewId="0">
      <selection activeCell="D57" sqref="D57"/>
    </sheetView>
  </sheetViews>
  <sheetFormatPr defaultRowHeight="12.5" x14ac:dyDescent="0.25"/>
  <cols>
    <col min="1" max="1" width="3.7265625" style="33" customWidth="1"/>
    <col min="2" max="2" width="46.1796875" customWidth="1"/>
    <col min="3" max="3" width="25" customWidth="1"/>
    <col min="4" max="4" width="25.1796875" customWidth="1"/>
    <col min="5" max="5" width="23.1796875" customWidth="1"/>
    <col min="6" max="6" width="17.54296875" style="15" customWidth="1"/>
    <col min="7" max="7" width="9.453125" style="15" bestFit="1" customWidth="1"/>
    <col min="8" max="8" width="8.54296875" style="15" bestFit="1" customWidth="1"/>
    <col min="9" max="9" width="28.81640625" style="40" customWidth="1"/>
    <col min="10" max="10" width="33" style="33" customWidth="1"/>
    <col min="11" max="11" width="21.26953125" style="33" customWidth="1"/>
    <col min="12" max="12" width="12.7265625" style="33" customWidth="1"/>
    <col min="13" max="13" width="15.54296875" style="33" customWidth="1"/>
    <col min="14" max="14" width="25.453125" style="33" customWidth="1"/>
    <col min="15" max="17" width="9.1796875" style="33"/>
    <col min="18" max="43" width="9.1796875" style="3"/>
  </cols>
  <sheetData>
    <row r="1" spans="1:44" s="5" customFormat="1" ht="17.5" x14ac:dyDescent="0.35">
      <c r="A1" s="31"/>
      <c r="B1" s="71" t="s">
        <v>306</v>
      </c>
      <c r="C1" s="71"/>
      <c r="D1" s="71"/>
      <c r="E1" s="71"/>
      <c r="F1" s="31"/>
      <c r="G1" s="31"/>
      <c r="H1" s="31"/>
      <c r="I1" s="39"/>
      <c r="J1" s="31"/>
      <c r="K1" s="31"/>
      <c r="L1" s="31"/>
      <c r="M1" s="31"/>
      <c r="N1" s="31"/>
      <c r="O1" s="31"/>
      <c r="P1" s="31"/>
      <c r="Q1" s="31"/>
      <c r="R1" s="4"/>
      <c r="S1" s="4"/>
      <c r="T1" s="4"/>
      <c r="U1" s="4"/>
      <c r="V1" s="4"/>
      <c r="W1" s="4"/>
      <c r="X1" s="4"/>
      <c r="Y1" s="4"/>
      <c r="Z1" s="4"/>
      <c r="AA1" s="4"/>
      <c r="AB1" s="4"/>
      <c r="AC1" s="4"/>
      <c r="AD1" s="4"/>
      <c r="AE1" s="4"/>
      <c r="AF1" s="4"/>
      <c r="AG1" s="4"/>
      <c r="AH1" s="4"/>
      <c r="AI1" s="4"/>
      <c r="AJ1" s="4"/>
      <c r="AK1" s="4"/>
      <c r="AL1" s="4"/>
      <c r="AM1" s="4"/>
      <c r="AN1" s="4"/>
      <c r="AO1" s="4"/>
    </row>
    <row r="2" spans="1:44" s="8" customFormat="1" x14ac:dyDescent="0.25">
      <c r="A2" s="32"/>
      <c r="B2" s="72" t="s">
        <v>15</v>
      </c>
      <c r="C2" s="73"/>
      <c r="D2" s="73"/>
      <c r="E2" s="73"/>
      <c r="F2" s="32"/>
      <c r="G2" s="32"/>
      <c r="H2" s="32"/>
      <c r="I2" s="40"/>
      <c r="J2" s="32"/>
      <c r="K2" s="32"/>
      <c r="L2" s="32"/>
      <c r="M2" s="32"/>
      <c r="N2" s="32"/>
      <c r="O2" s="32"/>
      <c r="P2" s="32"/>
      <c r="Q2" s="32"/>
      <c r="R2" s="7"/>
      <c r="S2" s="7"/>
      <c r="T2" s="7"/>
      <c r="U2" s="7"/>
      <c r="V2" s="7"/>
      <c r="W2" s="7"/>
      <c r="X2" s="7"/>
      <c r="Y2" s="7"/>
      <c r="Z2" s="7"/>
      <c r="AA2" s="7"/>
      <c r="AB2" s="7"/>
      <c r="AC2" s="7"/>
      <c r="AD2" s="7"/>
      <c r="AE2" s="7"/>
      <c r="AF2" s="7"/>
      <c r="AG2" s="7"/>
      <c r="AH2" s="7"/>
      <c r="AI2" s="7"/>
      <c r="AJ2" s="7"/>
      <c r="AK2" s="7"/>
      <c r="AL2" s="7"/>
      <c r="AM2" s="7"/>
      <c r="AN2" s="7"/>
      <c r="AO2" s="7"/>
    </row>
    <row r="3" spans="1:44" s="8" customFormat="1" x14ac:dyDescent="0.25">
      <c r="A3" s="32"/>
      <c r="B3" s="74" t="s">
        <v>16</v>
      </c>
      <c r="C3" s="73"/>
      <c r="D3" s="73"/>
      <c r="E3" s="73"/>
      <c r="F3" s="32"/>
      <c r="G3" s="32"/>
      <c r="H3" s="32"/>
      <c r="I3" s="40"/>
      <c r="J3" s="32"/>
      <c r="K3" s="32"/>
      <c r="L3" s="32"/>
      <c r="M3" s="32"/>
      <c r="N3" s="32"/>
      <c r="O3" s="32"/>
      <c r="P3" s="32"/>
      <c r="Q3" s="32"/>
      <c r="R3" s="7"/>
      <c r="S3" s="7"/>
      <c r="T3" s="7"/>
      <c r="U3" s="7"/>
      <c r="V3" s="7"/>
      <c r="W3" s="7"/>
      <c r="X3" s="7"/>
      <c r="Y3" s="7"/>
      <c r="Z3" s="7"/>
      <c r="AA3" s="7"/>
      <c r="AB3" s="7"/>
      <c r="AC3" s="7"/>
      <c r="AD3" s="7"/>
      <c r="AE3" s="7"/>
      <c r="AF3" s="7"/>
      <c r="AG3" s="7"/>
      <c r="AH3" s="7"/>
      <c r="AI3" s="7"/>
      <c r="AJ3" s="7"/>
      <c r="AK3" s="7"/>
      <c r="AL3" s="7"/>
      <c r="AM3" s="7"/>
      <c r="AN3" s="7"/>
      <c r="AO3" s="7"/>
    </row>
    <row r="4" spans="1:44" s="8" customFormat="1" x14ac:dyDescent="0.25">
      <c r="A4" s="32"/>
      <c r="B4" s="73" t="s">
        <v>17</v>
      </c>
      <c r="C4" s="73"/>
      <c r="D4" s="73"/>
      <c r="E4" s="73"/>
      <c r="F4" s="32"/>
      <c r="G4" s="32"/>
      <c r="H4" s="32"/>
      <c r="I4" s="40"/>
      <c r="J4" s="32"/>
      <c r="K4" s="32"/>
      <c r="L4" s="32"/>
      <c r="M4" s="32"/>
      <c r="N4" s="32"/>
      <c r="O4" s="32"/>
      <c r="P4" s="32"/>
      <c r="Q4" s="32"/>
      <c r="R4" s="7"/>
      <c r="S4" s="7"/>
      <c r="T4" s="7"/>
      <c r="U4" s="7"/>
      <c r="V4" s="7"/>
      <c r="W4" s="7"/>
      <c r="X4" s="7"/>
      <c r="Y4" s="7"/>
      <c r="Z4" s="7"/>
      <c r="AA4" s="7"/>
      <c r="AB4" s="7"/>
      <c r="AC4" s="7"/>
      <c r="AD4" s="7"/>
      <c r="AE4" s="7"/>
      <c r="AF4" s="7"/>
      <c r="AG4" s="7"/>
      <c r="AH4" s="7"/>
      <c r="AI4" s="7"/>
      <c r="AJ4" s="7"/>
      <c r="AK4" s="7"/>
      <c r="AL4" s="7"/>
      <c r="AM4" s="7"/>
      <c r="AN4" s="7"/>
      <c r="AO4" s="7"/>
    </row>
    <row r="5" spans="1:44" s="3" customFormat="1" x14ac:dyDescent="0.25">
      <c r="A5" s="33"/>
      <c r="F5" s="33"/>
      <c r="G5" s="33"/>
      <c r="H5" s="33"/>
      <c r="I5" s="40"/>
      <c r="J5" s="33"/>
      <c r="K5" s="33"/>
      <c r="L5" s="33"/>
      <c r="M5" s="33"/>
      <c r="N5" s="33"/>
      <c r="O5" s="33"/>
      <c r="P5" s="33"/>
      <c r="Q5" s="33"/>
    </row>
    <row r="6" spans="1:44" s="1" customFormat="1" ht="13" x14ac:dyDescent="0.3">
      <c r="A6" s="34"/>
      <c r="B6" s="6" t="s">
        <v>0</v>
      </c>
      <c r="C6" s="6"/>
      <c r="D6" s="34"/>
      <c r="E6" s="41"/>
      <c r="F6" s="34"/>
      <c r="G6" s="34"/>
      <c r="H6" s="34"/>
      <c r="I6" s="41"/>
      <c r="J6" s="34"/>
      <c r="K6" s="34"/>
      <c r="L6" s="34"/>
      <c r="M6" s="34"/>
      <c r="N6" s="34"/>
      <c r="O6" s="34"/>
      <c r="P6" s="34"/>
      <c r="Q6" s="34"/>
      <c r="R6" s="2"/>
      <c r="S6" s="2"/>
      <c r="T6" s="2"/>
      <c r="U6" s="2"/>
      <c r="V6" s="2"/>
      <c r="W6" s="2"/>
      <c r="X6" s="2"/>
      <c r="Y6" s="2"/>
      <c r="Z6" s="2"/>
      <c r="AA6" s="2"/>
      <c r="AB6" s="2"/>
      <c r="AC6" s="2"/>
      <c r="AD6" s="2"/>
      <c r="AE6" s="2"/>
      <c r="AF6" s="2"/>
      <c r="AG6" s="2"/>
      <c r="AH6" s="2"/>
      <c r="AI6" s="2"/>
      <c r="AJ6" s="2"/>
      <c r="AK6" s="2"/>
      <c r="AL6" s="2"/>
      <c r="AM6" s="2"/>
      <c r="AN6" s="2"/>
      <c r="AO6" s="2"/>
      <c r="AP6" s="2"/>
      <c r="AQ6" s="2"/>
    </row>
    <row r="7" spans="1:44" ht="14.25" customHeight="1" x14ac:dyDescent="0.25">
      <c r="B7" s="225" t="s">
        <v>313</v>
      </c>
      <c r="C7" s="226"/>
      <c r="D7" s="33"/>
      <c r="E7" s="40"/>
      <c r="F7" s="33"/>
      <c r="G7" s="33"/>
      <c r="H7" s="33"/>
    </row>
    <row r="8" spans="1:44" x14ac:dyDescent="0.25">
      <c r="B8" s="210" t="s">
        <v>1</v>
      </c>
      <c r="C8" s="304">
        <v>60</v>
      </c>
      <c r="D8" s="33"/>
      <c r="E8" s="40"/>
      <c r="F8" s="33"/>
      <c r="G8" s="33"/>
      <c r="H8" s="33"/>
    </row>
    <row r="9" spans="1:44" x14ac:dyDescent="0.25">
      <c r="B9" s="210" t="s">
        <v>40</v>
      </c>
      <c r="C9" s="304">
        <v>60</v>
      </c>
      <c r="D9" s="86"/>
      <c r="E9" s="40"/>
      <c r="F9" s="33"/>
      <c r="G9" s="33"/>
      <c r="H9" s="33"/>
    </row>
    <row r="10" spans="1:44" x14ac:dyDescent="0.25">
      <c r="B10" s="210" t="s">
        <v>2</v>
      </c>
      <c r="C10" s="227">
        <v>3.5000000000000003E-2</v>
      </c>
      <c r="D10" s="33"/>
      <c r="E10" s="40"/>
      <c r="F10" s="33"/>
      <c r="G10" s="33"/>
      <c r="H10" s="33"/>
    </row>
    <row r="11" spans="1:44" x14ac:dyDescent="0.25">
      <c r="B11" s="210" t="s">
        <v>297</v>
      </c>
      <c r="C11" s="303">
        <v>0.2</v>
      </c>
      <c r="D11" s="86"/>
      <c r="E11" s="40"/>
      <c r="F11" s="33"/>
      <c r="G11" s="33"/>
      <c r="H11" s="33"/>
    </row>
    <row r="12" spans="1:44" x14ac:dyDescent="0.25">
      <c r="B12" s="213" t="s">
        <v>141</v>
      </c>
      <c r="C12" s="305">
        <v>1.15E-2</v>
      </c>
      <c r="D12" s="86"/>
      <c r="E12" s="40"/>
      <c r="F12" s="33"/>
      <c r="G12" s="33"/>
      <c r="H12" s="33"/>
    </row>
    <row r="13" spans="1:44" x14ac:dyDescent="0.25">
      <c r="B13" s="210" t="s">
        <v>35</v>
      </c>
      <c r="C13" s="228">
        <v>0</v>
      </c>
      <c r="D13" s="86"/>
      <c r="E13" s="40"/>
      <c r="F13" s="33"/>
      <c r="G13" s="33"/>
      <c r="H13" s="33"/>
    </row>
    <row r="14" spans="1:44" s="3" customFormat="1" ht="13" x14ac:dyDescent="0.3">
      <c r="A14" s="34"/>
      <c r="B14" s="19"/>
      <c r="C14" s="19"/>
      <c r="D14" s="91"/>
      <c r="E14" s="91"/>
      <c r="F14" s="91"/>
      <c r="G14" s="33"/>
      <c r="H14" s="33"/>
      <c r="I14" s="92"/>
      <c r="J14" s="33"/>
      <c r="K14" s="33"/>
      <c r="L14" s="33"/>
      <c r="M14" s="33"/>
      <c r="N14" s="33"/>
      <c r="O14" s="33"/>
      <c r="P14" s="33"/>
      <c r="Q14" s="33"/>
    </row>
    <row r="15" spans="1:44" s="1" customFormat="1" ht="13" x14ac:dyDescent="0.3">
      <c r="A15" s="33"/>
      <c r="B15" s="6" t="s">
        <v>278</v>
      </c>
      <c r="C15" s="6"/>
      <c r="D15" s="6"/>
      <c r="E15" s="6"/>
      <c r="F15" s="6"/>
      <c r="G15" s="6"/>
      <c r="H15" s="6"/>
      <c r="I15" s="41"/>
      <c r="J15" s="40" t="s">
        <v>272</v>
      </c>
      <c r="K15" s="40">
        <v>50</v>
      </c>
      <c r="L15" s="34"/>
      <c r="M15" s="34"/>
      <c r="N15" s="34"/>
      <c r="O15" s="34"/>
      <c r="P15" s="34"/>
      <c r="Q15" s="34"/>
      <c r="R15" s="2"/>
      <c r="S15" s="2"/>
      <c r="T15" s="2"/>
      <c r="U15" s="2"/>
      <c r="V15" s="2"/>
      <c r="W15" s="2"/>
      <c r="X15" s="2"/>
      <c r="Y15" s="2"/>
      <c r="Z15" s="2"/>
      <c r="AA15" s="2"/>
      <c r="AB15" s="2"/>
      <c r="AC15" s="2"/>
      <c r="AD15" s="2"/>
      <c r="AE15" s="2"/>
      <c r="AF15" s="2"/>
      <c r="AG15" s="2"/>
      <c r="AH15" s="2"/>
      <c r="AI15" s="2"/>
      <c r="AJ15" s="2"/>
      <c r="AK15" s="2"/>
      <c r="AL15" s="2"/>
      <c r="AM15" s="2"/>
      <c r="AN15" s="2"/>
      <c r="AO15" s="2"/>
      <c r="AP15" s="2"/>
    </row>
    <row r="16" spans="1:44" s="85" customFormat="1" ht="25" x14ac:dyDescent="0.25">
      <c r="A16" s="84"/>
      <c r="B16" s="191" t="s">
        <v>271</v>
      </c>
      <c r="C16" s="339" t="s">
        <v>276</v>
      </c>
      <c r="D16" s="339" t="s">
        <v>94</v>
      </c>
      <c r="E16" s="339" t="s">
        <v>112</v>
      </c>
      <c r="F16" s="340" t="s">
        <v>3</v>
      </c>
      <c r="G16" s="339" t="s">
        <v>51</v>
      </c>
      <c r="H16" s="339" t="s">
        <v>52</v>
      </c>
      <c r="I16" s="325" t="s">
        <v>171</v>
      </c>
      <c r="J16" s="283" t="s">
        <v>51</v>
      </c>
      <c r="K16" s="283" t="s">
        <v>52</v>
      </c>
      <c r="L16" s="283" t="s">
        <v>169</v>
      </c>
      <c r="M16" s="321" t="s">
        <v>170</v>
      </c>
      <c r="N16" s="327"/>
      <c r="O16" s="84"/>
      <c r="P16" s="84"/>
      <c r="Q16" s="84"/>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row>
    <row r="17" spans="2:44" x14ac:dyDescent="0.25">
      <c r="B17" s="212"/>
      <c r="C17" s="249">
        <v>69</v>
      </c>
      <c r="D17" s="190">
        <v>30</v>
      </c>
      <c r="E17" s="78">
        <v>62</v>
      </c>
      <c r="F17" s="110">
        <v>13.5</v>
      </c>
      <c r="G17" s="81">
        <f t="shared" ref="G17:G31" si="0">IF(C17&gt;75,"För hög dBA",J17)</f>
        <v>76211.345758529613</v>
      </c>
      <c r="H17" s="81">
        <f>IF(AND(C17&gt;0,E17&gt;0,F17&gt;0),K17,0)</f>
        <v>74747.79515190034</v>
      </c>
      <c r="I17" s="324">
        <f t="shared" ref="I17:I31" si="1">D17+C17-E17-M17</f>
        <v>36.6</v>
      </c>
      <c r="J17" s="328">
        <f>IF((C17-D17)&gt;25,(F17*(VLOOKUP(C17-D17,Bullervärdering!$E$3:$I$30,3)*(C17-D17)-VLOOKUP(C17-D17,Bullervärdering!$E$3:$I$30,3)*VLOOKUP(C17-D17,Bullervärdering!$E$3:$I$30,1)+VLOOKUP(C17-D17,Bullervärdering!$E$3:$I$30,2)-IF((C17-I17)&gt;25,(VLOOKUP(C17-I17,Bullervärdering!$E$3:$I$30,3)*(C17-I17)-VLOOKUP(C17-I17,Bullervärdering!$E$3:$I$30,3)*VLOOKUP(C17-I17,Bullervärdering!$E$3:$I$30,1)+VLOOKUP(C17-I17,Bullervärdering!$E$3:$I$30,2)),0))),0)</f>
        <v>76211.345758529613</v>
      </c>
      <c r="K17" s="328">
        <f>IF(AND(E17&gt;=50,C17&gt;45),(F17*(VLOOKUP(C17,Bullervärdering!$A$3:$I$30,8)*(C17)-VLOOKUP(C17,Bullervärdering!$A$3:$I$30,8)*VLOOKUP(C17,Bullervärdering!$A$3:$I$30,1)+VLOOKUP(C17,Bullervärdering!$A$3:$I$30,2)-(VLOOKUP(E17,Bullervärdering!$A$3:$I$30,8)*(E17)-VLOOKUP(E17,Bullervärdering!$A$3:$I$30,8)*VLOOKUP(E17,Bullervärdering!$A$3:$I$30,1)+VLOOKUP(E17,Bullervärdering!$A$3:$I$30,2)))),(F17*(VLOOKUP(C17,Bullervärdering!$A$3:$I$30,8)*(C17)-VLOOKUP(C17,Bullervärdering!$A$3:$I$30,8)*VLOOKUP(C17,Bullervärdering!$A$3:$I$30,1)+VLOOKUP(C17,Bullervärdering!$A$3:$I$30,2)-(VLOOKUP($K$15,Bullervärdering!$A$3:$I$30,8)*($K$15)-VLOOKUP($K$15,Bullervärdering!$A$3:$I$30,8)*VLOOKUP($K$15,Bullervärdering!$A$3:$I$30,1)+VLOOKUP($K$15,Bullervärdering!$A$3:$I$30,2)))))</f>
        <v>74747.79515190034</v>
      </c>
      <c r="L17" s="283">
        <f>C17-E17</f>
        <v>7</v>
      </c>
      <c r="M17" s="324">
        <f>IF(L17&lt;5,0,IF(L17&lt;20,(L17-5)/5,3))</f>
        <v>0.4</v>
      </c>
      <c r="N17" s="289"/>
    </row>
    <row r="18" spans="2:44" x14ac:dyDescent="0.25">
      <c r="B18" s="212"/>
      <c r="C18" s="249">
        <v>65</v>
      </c>
      <c r="D18" s="190">
        <v>30</v>
      </c>
      <c r="E18" s="78">
        <v>57</v>
      </c>
      <c r="F18" s="110">
        <v>8.1</v>
      </c>
      <c r="G18" s="81">
        <f t="shared" si="0"/>
        <v>38260.187299562611</v>
      </c>
      <c r="H18" s="81">
        <f t="shared" ref="H18:H31" si="2">IF(AND(C18&gt;0,E18&gt;0,F18&gt;0),K18,0)</f>
        <v>31772.426531064004</v>
      </c>
      <c r="I18" s="324">
        <f t="shared" si="1"/>
        <v>37.4</v>
      </c>
      <c r="J18" s="328">
        <f>IF((C18-D18)&gt;25,(F18*(VLOOKUP(C18-D18,Bullervärdering!$E$3:$I$30,3)*(C18-D18)-VLOOKUP(C18-D18,Bullervärdering!$E$3:$I$30,3)*VLOOKUP(C18-D18,Bullervärdering!$E$3:$I$30,1)+VLOOKUP(C18-D18,Bullervärdering!$E$3:$I$30,2)-IF((C18-I18)&gt;25,(VLOOKUP(C18-I18,Bullervärdering!$E$3:$I$30,3)*(C18-I18)-VLOOKUP(C18-I18,Bullervärdering!$E$3:$I$30,3)*VLOOKUP(C18-I18,Bullervärdering!$E$3:$I$30,1)+VLOOKUP(C18-I18,Bullervärdering!$E$3:$I$30,2)),0))),0)</f>
        <v>38260.187299562611</v>
      </c>
      <c r="K18" s="328">
        <f>IF(AND(E18&gt;=50,C18&gt;45),(F18*(VLOOKUP(C18,Bullervärdering!$A$3:$I$30,8)*(C18)-VLOOKUP(C18,Bullervärdering!$A$3:$I$30,8)*VLOOKUP(C18,Bullervärdering!$A$3:$I$30,1)+VLOOKUP(C18,Bullervärdering!$A$3:$I$30,2)-(VLOOKUP(E18,Bullervärdering!$A$3:$I$30,8)*(E18)-VLOOKUP(E18,Bullervärdering!$A$3:$I$30,8)*VLOOKUP(E18,Bullervärdering!$A$3:$I$30,1)+VLOOKUP(E18,Bullervärdering!$A$3:$I$30,2)))),(F18*(VLOOKUP(C18,Bullervärdering!$A$3:$I$30,8)*(C18)-VLOOKUP(C18,Bullervärdering!$A$3:$I$30,8)*VLOOKUP(C18,Bullervärdering!$A$3:$I$30,1)+VLOOKUP(C18,Bullervärdering!$A$3:$I$30,2)-(VLOOKUP($K$15,Bullervärdering!$A$3:$I$30,8)*($K$15)-VLOOKUP($K$15,Bullervärdering!$A$3:$I$30,8)*VLOOKUP($K$15,Bullervärdering!$A$3:$I$30,1)+VLOOKUP($K$15,Bullervärdering!$A$3:$I$30,2)))))</f>
        <v>31772.426531064004</v>
      </c>
      <c r="L18" s="283">
        <f t="shared" ref="L18:L31" si="3">C18-E18</f>
        <v>8</v>
      </c>
      <c r="M18" s="324">
        <f t="shared" ref="M18:M31" si="4">IF(L18&lt;5,0,IF(L18&lt;20,(L18-5)/5,3))</f>
        <v>0.6</v>
      </c>
      <c r="N18" s="289"/>
    </row>
    <row r="19" spans="2:44" x14ac:dyDescent="0.25">
      <c r="B19" s="212"/>
      <c r="C19" s="249"/>
      <c r="D19" s="190">
        <v>30</v>
      </c>
      <c r="E19" s="251"/>
      <c r="F19" s="251"/>
      <c r="G19" s="81">
        <f t="shared" si="0"/>
        <v>0</v>
      </c>
      <c r="H19" s="81">
        <f t="shared" si="2"/>
        <v>0</v>
      </c>
      <c r="I19" s="324">
        <f t="shared" si="1"/>
        <v>30</v>
      </c>
      <c r="J19" s="328">
        <f>IF((C19-D19)&gt;25,(F19*(VLOOKUP(C19-D19,Bullervärdering!$E$3:$I$30,3)*(C19-D19)-VLOOKUP(C19-D19,Bullervärdering!$E$3:$I$30,3)*VLOOKUP(C19-D19,Bullervärdering!$E$3:$I$30,1)+VLOOKUP(C19-D19,Bullervärdering!$E$3:$I$30,2)-IF((C19-I19)&gt;25,(VLOOKUP(C19-I19,Bullervärdering!$E$3:$I$30,3)*(C19-I19)-VLOOKUP(C19-I19,Bullervärdering!$E$3:$I$30,3)*VLOOKUP(C19-I19,Bullervärdering!$E$3:$I$30,1)+VLOOKUP(C19-I19,Bullervärdering!$E$3:$I$30,2)),0))),0)</f>
        <v>0</v>
      </c>
      <c r="K19" s="328" t="e">
        <f>IF(AND(E19&gt;=50,C19&gt;45),(F19*(VLOOKUP(C19,Bullervärdering!$A$3:$I$30,8)*(C19)-VLOOKUP(C19,Bullervärdering!$A$3:$I$30,8)*VLOOKUP(C19,Bullervärdering!$A$3:$I$30,1)+VLOOKUP(C19,Bullervärdering!$A$3:$I$30,2)-(VLOOKUP(E19,Bullervärdering!$A$3:$I$30,8)*(E19)-VLOOKUP(E19,Bullervärdering!$A$3:$I$30,8)*VLOOKUP(E19,Bullervärdering!$A$3:$I$30,1)+VLOOKUP(E19,Bullervärdering!$A$3:$I$30,2)))),(F19*(VLOOKUP(C19,Bullervärdering!$A$3:$I$30,8)*(C19)-VLOOKUP(C19,Bullervärdering!$A$3:$I$30,8)*VLOOKUP(C19,Bullervärdering!$A$3:$I$30,1)+VLOOKUP(C19,Bullervärdering!$A$3:$I$30,2)-(VLOOKUP($K$15,Bullervärdering!$A$3:$I$30,8)*($K$15)-VLOOKUP($K$15,Bullervärdering!$A$3:$I$30,8)*VLOOKUP($K$15,Bullervärdering!$A$3:$I$30,1)+VLOOKUP($K$15,Bullervärdering!$A$3:$I$30,2)))))</f>
        <v>#N/A</v>
      </c>
      <c r="L19" s="283">
        <f t="shared" si="3"/>
        <v>0</v>
      </c>
      <c r="M19" s="324">
        <f t="shared" si="4"/>
        <v>0</v>
      </c>
      <c r="N19" s="289"/>
    </row>
    <row r="20" spans="2:44" x14ac:dyDescent="0.25">
      <c r="B20" s="212"/>
      <c r="C20" s="249"/>
      <c r="D20" s="190">
        <v>30</v>
      </c>
      <c r="E20" s="251"/>
      <c r="F20" s="251"/>
      <c r="G20" s="81">
        <f t="shared" si="0"/>
        <v>0</v>
      </c>
      <c r="H20" s="81">
        <f t="shared" si="2"/>
        <v>0</v>
      </c>
      <c r="I20" s="324">
        <f t="shared" si="1"/>
        <v>30</v>
      </c>
      <c r="J20" s="328">
        <f>IF((C20-D20)&gt;25,(F20*(VLOOKUP(C20-D20,Bullervärdering!$E$3:$I$30,3)*(C20-D20)-VLOOKUP(C20-D20,Bullervärdering!$E$3:$I$30,3)*VLOOKUP(C20-D20,Bullervärdering!$E$3:$I$30,1)+VLOOKUP(C20-D20,Bullervärdering!$E$3:$I$30,2)-IF((C20-I20)&gt;25,(VLOOKUP(C20-I20,Bullervärdering!$E$3:$I$30,3)*(C20-I20)-VLOOKUP(C20-I20,Bullervärdering!$E$3:$I$30,3)*VLOOKUP(C20-I20,Bullervärdering!$E$3:$I$30,1)+VLOOKUP(C20-I20,Bullervärdering!$E$3:$I$30,2)),0))),0)</f>
        <v>0</v>
      </c>
      <c r="K20" s="328" t="e">
        <f>IF(AND(E20&gt;=50,C20&gt;45),(F20*(VLOOKUP(C20,Bullervärdering!$A$3:$I$30,8)*(C20)-VLOOKUP(C20,Bullervärdering!$A$3:$I$30,8)*VLOOKUP(C20,Bullervärdering!$A$3:$I$30,1)+VLOOKUP(C20,Bullervärdering!$A$3:$I$30,2)-(VLOOKUP(E20,Bullervärdering!$A$3:$I$30,8)*(E20)-VLOOKUP(E20,Bullervärdering!$A$3:$I$30,8)*VLOOKUP(E20,Bullervärdering!$A$3:$I$30,1)+VLOOKUP(E20,Bullervärdering!$A$3:$I$30,2)))),(F20*(VLOOKUP(C20,Bullervärdering!$A$3:$I$30,8)*(C20)-VLOOKUP(C20,Bullervärdering!$A$3:$I$30,8)*VLOOKUP(C20,Bullervärdering!$A$3:$I$30,1)+VLOOKUP(C20,Bullervärdering!$A$3:$I$30,2)-(VLOOKUP($K$15,Bullervärdering!$A$3:$I$30,8)*($K$15)-VLOOKUP($K$15,Bullervärdering!$A$3:$I$30,8)*VLOOKUP($K$15,Bullervärdering!$A$3:$I$30,1)+VLOOKUP($K$15,Bullervärdering!$A$3:$I$30,2)))))</f>
        <v>#N/A</v>
      </c>
      <c r="L20" s="283">
        <f t="shared" si="3"/>
        <v>0</v>
      </c>
      <c r="M20" s="324">
        <f t="shared" si="4"/>
        <v>0</v>
      </c>
      <c r="N20" s="289"/>
    </row>
    <row r="21" spans="2:44" x14ac:dyDescent="0.25">
      <c r="B21" s="212"/>
      <c r="C21" s="249"/>
      <c r="D21" s="190">
        <v>30</v>
      </c>
      <c r="E21" s="251"/>
      <c r="F21" s="251"/>
      <c r="G21" s="81">
        <f t="shared" si="0"/>
        <v>0</v>
      </c>
      <c r="H21" s="81">
        <f t="shared" si="2"/>
        <v>0</v>
      </c>
      <c r="I21" s="324">
        <f t="shared" si="1"/>
        <v>30</v>
      </c>
      <c r="J21" s="328">
        <f>IF((C21-D21)&gt;25,(F21*(VLOOKUP(C21-D21,Bullervärdering!$E$3:$I$30,3)*(C21-D21)-VLOOKUP(C21-D21,Bullervärdering!$E$3:$I$30,3)*VLOOKUP(C21-D21,Bullervärdering!$E$3:$I$30,1)+VLOOKUP(C21-D21,Bullervärdering!$E$3:$I$30,2)-IF((C21-I21)&gt;25,(VLOOKUP(C21-I21,Bullervärdering!$E$3:$I$30,3)*(C21-I21)-VLOOKUP(C21-I21,Bullervärdering!$E$3:$I$30,3)*VLOOKUP(C21-I21,Bullervärdering!$E$3:$I$30,1)+VLOOKUP(C21-I21,Bullervärdering!$E$3:$I$30,2)),0))),0)</f>
        <v>0</v>
      </c>
      <c r="K21" s="328" t="e">
        <f>IF(AND(E21&gt;=50,C21&gt;45),(F21*(VLOOKUP(C21,Bullervärdering!$A$3:$I$30,8)*(C21)-VLOOKUP(C21,Bullervärdering!$A$3:$I$30,8)*VLOOKUP(C21,Bullervärdering!$A$3:$I$30,1)+VLOOKUP(C21,Bullervärdering!$A$3:$I$30,2)-(VLOOKUP(E21,Bullervärdering!$A$3:$I$30,8)*(E21)-VLOOKUP(E21,Bullervärdering!$A$3:$I$30,8)*VLOOKUP(E21,Bullervärdering!$A$3:$I$30,1)+VLOOKUP(E21,Bullervärdering!$A$3:$I$30,2)))),(F21*(VLOOKUP(C21,Bullervärdering!$A$3:$I$30,8)*(C21)-VLOOKUP(C21,Bullervärdering!$A$3:$I$30,8)*VLOOKUP(C21,Bullervärdering!$A$3:$I$30,1)+VLOOKUP(C21,Bullervärdering!$A$3:$I$30,2)-(VLOOKUP($K$15,Bullervärdering!$A$3:$I$30,8)*($K$15)-VLOOKUP($K$15,Bullervärdering!$A$3:$I$30,8)*VLOOKUP($K$15,Bullervärdering!$A$3:$I$30,1)+VLOOKUP($K$15,Bullervärdering!$A$3:$I$30,2)))))</f>
        <v>#N/A</v>
      </c>
      <c r="L21" s="283">
        <f t="shared" si="3"/>
        <v>0</v>
      </c>
      <c r="M21" s="324">
        <f t="shared" si="4"/>
        <v>0</v>
      </c>
      <c r="N21" s="289"/>
    </row>
    <row r="22" spans="2:44" x14ac:dyDescent="0.25">
      <c r="B22" s="212"/>
      <c r="C22" s="249"/>
      <c r="D22" s="190">
        <v>30</v>
      </c>
      <c r="E22" s="251"/>
      <c r="F22" s="251"/>
      <c r="G22" s="81">
        <f t="shared" si="0"/>
        <v>0</v>
      </c>
      <c r="H22" s="81">
        <f t="shared" si="2"/>
        <v>0</v>
      </c>
      <c r="I22" s="324">
        <f t="shared" si="1"/>
        <v>30</v>
      </c>
      <c r="J22" s="328">
        <f>IF((C22-D22)&gt;25,(F22*(VLOOKUP(C22-D22,Bullervärdering!$E$3:$I$30,3)*(C22-D22)-VLOOKUP(C22-D22,Bullervärdering!$E$3:$I$30,3)*VLOOKUP(C22-D22,Bullervärdering!$E$3:$I$30,1)+VLOOKUP(C22-D22,Bullervärdering!$E$3:$I$30,2)-IF((C22-I22)&gt;25,(VLOOKUP(C22-I22,Bullervärdering!$E$3:$I$30,3)*(C22-I22)-VLOOKUP(C22-I22,Bullervärdering!$E$3:$I$30,3)*VLOOKUP(C22-I22,Bullervärdering!$E$3:$I$30,1)+VLOOKUP(C22-I22,Bullervärdering!$E$3:$I$30,2)),0))),0)</f>
        <v>0</v>
      </c>
      <c r="K22" s="328" t="e">
        <f>IF(AND(E22&gt;=50,C22&gt;45),(F22*(VLOOKUP(C22,Bullervärdering!$A$3:$I$30,8)*(C22)-VLOOKUP(C22,Bullervärdering!$A$3:$I$30,8)*VLOOKUP(C22,Bullervärdering!$A$3:$I$30,1)+VLOOKUP(C22,Bullervärdering!$A$3:$I$30,2)-(VLOOKUP(E22,Bullervärdering!$A$3:$I$30,8)*(E22)-VLOOKUP(E22,Bullervärdering!$A$3:$I$30,8)*VLOOKUP(E22,Bullervärdering!$A$3:$I$30,1)+VLOOKUP(E22,Bullervärdering!$A$3:$I$30,2)))),(F22*(VLOOKUP(C22,Bullervärdering!$A$3:$I$30,8)*(C22)-VLOOKUP(C22,Bullervärdering!$A$3:$I$30,8)*VLOOKUP(C22,Bullervärdering!$A$3:$I$30,1)+VLOOKUP(C22,Bullervärdering!$A$3:$I$30,2)-(VLOOKUP($K$15,Bullervärdering!$A$3:$I$30,8)*($K$15)-VLOOKUP($K$15,Bullervärdering!$A$3:$I$30,8)*VLOOKUP($K$15,Bullervärdering!$A$3:$I$30,1)+VLOOKUP($K$15,Bullervärdering!$A$3:$I$30,2)))))</f>
        <v>#N/A</v>
      </c>
      <c r="L22" s="283">
        <f t="shared" si="3"/>
        <v>0</v>
      </c>
      <c r="M22" s="324">
        <f t="shared" si="4"/>
        <v>0</v>
      </c>
      <c r="N22" s="289"/>
    </row>
    <row r="23" spans="2:44" x14ac:dyDescent="0.25">
      <c r="B23" s="212"/>
      <c r="C23" s="249"/>
      <c r="D23" s="190">
        <v>30</v>
      </c>
      <c r="E23" s="251"/>
      <c r="F23" s="251"/>
      <c r="G23" s="81">
        <f t="shared" si="0"/>
        <v>0</v>
      </c>
      <c r="H23" s="81">
        <f t="shared" si="2"/>
        <v>0</v>
      </c>
      <c r="I23" s="324">
        <f t="shared" si="1"/>
        <v>30</v>
      </c>
      <c r="J23" s="328">
        <f>IF((C23-D23)&gt;25,(F23*(VLOOKUP(C23-D23,Bullervärdering!$E$3:$I$30,3)*(C23-D23)-VLOOKUP(C23-D23,Bullervärdering!$E$3:$I$30,3)*VLOOKUP(C23-D23,Bullervärdering!$E$3:$I$30,1)+VLOOKUP(C23-D23,Bullervärdering!$E$3:$I$30,2)-IF((C23-I23)&gt;25,(VLOOKUP(C23-I23,Bullervärdering!$E$3:$I$30,3)*(C23-I23)-VLOOKUP(C23-I23,Bullervärdering!$E$3:$I$30,3)*VLOOKUP(C23-I23,Bullervärdering!$E$3:$I$30,1)+VLOOKUP(C23-I23,Bullervärdering!$E$3:$I$30,2)),0))),0)</f>
        <v>0</v>
      </c>
      <c r="K23" s="328" t="e">
        <f>IF(AND(E23&gt;=50,C23&gt;45),(F23*(VLOOKUP(C23,Bullervärdering!$A$3:$I$30,8)*(C23)-VLOOKUP(C23,Bullervärdering!$A$3:$I$30,8)*VLOOKUP(C23,Bullervärdering!$A$3:$I$30,1)+VLOOKUP(C23,Bullervärdering!$A$3:$I$30,2)-(VLOOKUP(E23,Bullervärdering!$A$3:$I$30,8)*(E23)-VLOOKUP(E23,Bullervärdering!$A$3:$I$30,8)*VLOOKUP(E23,Bullervärdering!$A$3:$I$30,1)+VLOOKUP(E23,Bullervärdering!$A$3:$I$30,2)))),(F23*(VLOOKUP(C23,Bullervärdering!$A$3:$I$30,8)*(C23)-VLOOKUP(C23,Bullervärdering!$A$3:$I$30,8)*VLOOKUP(C23,Bullervärdering!$A$3:$I$30,1)+VLOOKUP(C23,Bullervärdering!$A$3:$I$30,2)-(VLOOKUP($K$15,Bullervärdering!$A$3:$I$30,8)*($K$15)-VLOOKUP($K$15,Bullervärdering!$A$3:$I$30,8)*VLOOKUP($K$15,Bullervärdering!$A$3:$I$30,1)+VLOOKUP($K$15,Bullervärdering!$A$3:$I$30,2)))))</f>
        <v>#N/A</v>
      </c>
      <c r="L23" s="283">
        <f t="shared" si="3"/>
        <v>0</v>
      </c>
      <c r="M23" s="324">
        <f t="shared" si="4"/>
        <v>0</v>
      </c>
      <c r="N23" s="289"/>
    </row>
    <row r="24" spans="2:44" x14ac:dyDescent="0.25">
      <c r="B24" s="212"/>
      <c r="C24" s="249"/>
      <c r="D24" s="190">
        <v>30</v>
      </c>
      <c r="E24" s="262"/>
      <c r="F24" s="251"/>
      <c r="G24" s="81">
        <f t="shared" si="0"/>
        <v>0</v>
      </c>
      <c r="H24" s="81">
        <f t="shared" si="2"/>
        <v>0</v>
      </c>
      <c r="I24" s="324">
        <f t="shared" si="1"/>
        <v>30</v>
      </c>
      <c r="J24" s="328">
        <f>IF((C24-D24)&gt;25,(F24*(VLOOKUP(C24-D24,Bullervärdering!$E$3:$I$30,3)*(C24-D24)-VLOOKUP(C24-D24,Bullervärdering!$E$3:$I$30,3)*VLOOKUP(C24-D24,Bullervärdering!$E$3:$I$30,1)+VLOOKUP(C24-D24,Bullervärdering!$E$3:$I$30,2)-IF((C24-I24)&gt;25,(VLOOKUP(C24-I24,Bullervärdering!$E$3:$I$30,3)*(C24-I24)-VLOOKUP(C24-I24,Bullervärdering!$E$3:$I$30,3)*VLOOKUP(C24-I24,Bullervärdering!$E$3:$I$30,1)+VLOOKUP(C24-I24,Bullervärdering!$E$3:$I$30,2)),0))),0)</f>
        <v>0</v>
      </c>
      <c r="K24" s="328" t="e">
        <f>IF(AND(E24&gt;=50,C24&gt;45),(F24*(VLOOKUP(C24,Bullervärdering!$A$3:$I$30,8)*(C24)-VLOOKUP(C24,Bullervärdering!$A$3:$I$30,8)*VLOOKUP(C24,Bullervärdering!$A$3:$I$30,1)+VLOOKUP(C24,Bullervärdering!$A$3:$I$30,2)-(VLOOKUP(E24,Bullervärdering!$A$3:$I$30,8)*(E24)-VLOOKUP(E24,Bullervärdering!$A$3:$I$30,8)*VLOOKUP(E24,Bullervärdering!$A$3:$I$30,1)+VLOOKUP(E24,Bullervärdering!$A$3:$I$30,2)))),(F24*(VLOOKUP(C24,Bullervärdering!$A$3:$I$30,8)*(C24)-VLOOKUP(C24,Bullervärdering!$A$3:$I$30,8)*VLOOKUP(C24,Bullervärdering!$A$3:$I$30,1)+VLOOKUP(C24,Bullervärdering!$A$3:$I$30,2)-(VLOOKUP($K$15,Bullervärdering!$A$3:$I$30,8)*($K$15)-VLOOKUP($K$15,Bullervärdering!$A$3:$I$30,8)*VLOOKUP($K$15,Bullervärdering!$A$3:$I$30,1)+VLOOKUP($K$15,Bullervärdering!$A$3:$I$30,2)))))</f>
        <v>#N/A</v>
      </c>
      <c r="L24" s="283">
        <f t="shared" si="3"/>
        <v>0</v>
      </c>
      <c r="M24" s="324">
        <f t="shared" si="4"/>
        <v>0</v>
      </c>
      <c r="N24" s="289"/>
    </row>
    <row r="25" spans="2:44" x14ac:dyDescent="0.25">
      <c r="B25" s="212"/>
      <c r="C25" s="249"/>
      <c r="D25" s="190">
        <v>30</v>
      </c>
      <c r="E25" s="262"/>
      <c r="F25" s="251"/>
      <c r="G25" s="81">
        <f t="shared" si="0"/>
        <v>0</v>
      </c>
      <c r="H25" s="81">
        <f t="shared" si="2"/>
        <v>0</v>
      </c>
      <c r="I25" s="324">
        <f t="shared" si="1"/>
        <v>30</v>
      </c>
      <c r="J25" s="328">
        <f>IF((C25-D25)&gt;25,(F25*(VLOOKUP(C25-D25,Bullervärdering!$E$3:$I$30,3)*(C25-D25)-VLOOKUP(C25-D25,Bullervärdering!$E$3:$I$30,3)*VLOOKUP(C25-D25,Bullervärdering!$E$3:$I$30,1)+VLOOKUP(C25-D25,Bullervärdering!$E$3:$I$30,2)-IF((C25-I25)&gt;25,(VLOOKUP(C25-I25,Bullervärdering!$E$3:$I$30,3)*(C25-I25)-VLOOKUP(C25-I25,Bullervärdering!$E$3:$I$30,3)*VLOOKUP(C25-I25,Bullervärdering!$E$3:$I$30,1)+VLOOKUP(C25-I25,Bullervärdering!$E$3:$I$30,2)),0))),0)</f>
        <v>0</v>
      </c>
      <c r="K25" s="328" t="e">
        <f>IF(AND(E25&gt;=50,C25&gt;45),(F25*(VLOOKUP(C25,Bullervärdering!$A$3:$I$30,8)*(C25)-VLOOKUP(C25,Bullervärdering!$A$3:$I$30,8)*VLOOKUP(C25,Bullervärdering!$A$3:$I$30,1)+VLOOKUP(C25,Bullervärdering!$A$3:$I$30,2)-(VLOOKUP(E25,Bullervärdering!$A$3:$I$30,8)*(E25)-VLOOKUP(E25,Bullervärdering!$A$3:$I$30,8)*VLOOKUP(E25,Bullervärdering!$A$3:$I$30,1)+VLOOKUP(E25,Bullervärdering!$A$3:$I$30,2)))),(F25*(VLOOKUP(C25,Bullervärdering!$A$3:$I$30,8)*(C25)-VLOOKUP(C25,Bullervärdering!$A$3:$I$30,8)*VLOOKUP(C25,Bullervärdering!$A$3:$I$30,1)+VLOOKUP(C25,Bullervärdering!$A$3:$I$30,2)-(VLOOKUP($K$15,Bullervärdering!$A$3:$I$30,8)*($K$15)-VLOOKUP($K$15,Bullervärdering!$A$3:$I$30,8)*VLOOKUP($K$15,Bullervärdering!$A$3:$I$30,1)+VLOOKUP($K$15,Bullervärdering!$A$3:$I$30,2)))))</f>
        <v>#N/A</v>
      </c>
      <c r="L25" s="283">
        <f t="shared" si="3"/>
        <v>0</v>
      </c>
      <c r="M25" s="324">
        <f t="shared" si="4"/>
        <v>0</v>
      </c>
      <c r="N25" s="289"/>
    </row>
    <row r="26" spans="2:44" x14ac:dyDescent="0.25">
      <c r="B26" s="212"/>
      <c r="C26" s="249"/>
      <c r="D26" s="190">
        <v>30</v>
      </c>
      <c r="E26" s="262"/>
      <c r="F26" s="251"/>
      <c r="G26" s="81">
        <f t="shared" si="0"/>
        <v>0</v>
      </c>
      <c r="H26" s="81">
        <f t="shared" si="2"/>
        <v>0</v>
      </c>
      <c r="I26" s="324">
        <f t="shared" si="1"/>
        <v>30</v>
      </c>
      <c r="J26" s="328">
        <f>IF((C26-D26)&gt;25,(F26*(VLOOKUP(C26-D26,Bullervärdering!$E$3:$I$30,3)*(C26-D26)-VLOOKUP(C26-D26,Bullervärdering!$E$3:$I$30,3)*VLOOKUP(C26-D26,Bullervärdering!$E$3:$I$30,1)+VLOOKUP(C26-D26,Bullervärdering!$E$3:$I$30,2)-IF((C26-I26)&gt;25,(VLOOKUP(C26-I26,Bullervärdering!$E$3:$I$30,3)*(C26-I26)-VLOOKUP(C26-I26,Bullervärdering!$E$3:$I$30,3)*VLOOKUP(C26-I26,Bullervärdering!$E$3:$I$30,1)+VLOOKUP(C26-I26,Bullervärdering!$E$3:$I$30,2)),0))),0)</f>
        <v>0</v>
      </c>
      <c r="K26" s="328" t="e">
        <f>IF(AND(E26&gt;=50,C26&gt;45),(F26*(VLOOKUP(C26,Bullervärdering!$A$3:$I$30,8)*(C26)-VLOOKUP(C26,Bullervärdering!$A$3:$I$30,8)*VLOOKUP(C26,Bullervärdering!$A$3:$I$30,1)+VLOOKUP(C26,Bullervärdering!$A$3:$I$30,2)-(VLOOKUP(E26,Bullervärdering!$A$3:$I$30,8)*(E26)-VLOOKUP(E26,Bullervärdering!$A$3:$I$30,8)*VLOOKUP(E26,Bullervärdering!$A$3:$I$30,1)+VLOOKUP(E26,Bullervärdering!$A$3:$I$30,2)))),(F26*(VLOOKUP(C26,Bullervärdering!$A$3:$I$30,8)*(C26)-VLOOKUP(C26,Bullervärdering!$A$3:$I$30,8)*VLOOKUP(C26,Bullervärdering!$A$3:$I$30,1)+VLOOKUP(C26,Bullervärdering!$A$3:$I$30,2)-(VLOOKUP($K$15,Bullervärdering!$A$3:$I$30,8)*($K$15)-VLOOKUP($K$15,Bullervärdering!$A$3:$I$30,8)*VLOOKUP($K$15,Bullervärdering!$A$3:$I$30,1)+VLOOKUP($K$15,Bullervärdering!$A$3:$I$30,2)))))</f>
        <v>#N/A</v>
      </c>
      <c r="L26" s="283">
        <f t="shared" si="3"/>
        <v>0</v>
      </c>
      <c r="M26" s="324">
        <f t="shared" si="4"/>
        <v>0</v>
      </c>
      <c r="N26" s="289"/>
    </row>
    <row r="27" spans="2:44" x14ac:dyDescent="0.25">
      <c r="B27" s="212"/>
      <c r="C27" s="249"/>
      <c r="D27" s="190">
        <v>30</v>
      </c>
      <c r="E27" s="262"/>
      <c r="F27" s="251"/>
      <c r="G27" s="81">
        <f t="shared" si="0"/>
        <v>0</v>
      </c>
      <c r="H27" s="81">
        <f t="shared" si="2"/>
        <v>0</v>
      </c>
      <c r="I27" s="324">
        <f t="shared" si="1"/>
        <v>30</v>
      </c>
      <c r="J27" s="328">
        <f>IF((C27-D27)&gt;25,(F27*(VLOOKUP(C27-D27,Bullervärdering!$E$3:$I$30,3)*(C27-D27)-VLOOKUP(C27-D27,Bullervärdering!$E$3:$I$30,3)*VLOOKUP(C27-D27,Bullervärdering!$E$3:$I$30,1)+VLOOKUP(C27-D27,Bullervärdering!$E$3:$I$30,2)-IF((C27-I27)&gt;25,(VLOOKUP(C27-I27,Bullervärdering!$E$3:$I$30,3)*(C27-I27)-VLOOKUP(C27-I27,Bullervärdering!$E$3:$I$30,3)*VLOOKUP(C27-I27,Bullervärdering!$E$3:$I$30,1)+VLOOKUP(C27-I27,Bullervärdering!$E$3:$I$30,2)),0))),0)</f>
        <v>0</v>
      </c>
      <c r="K27" s="328" t="e">
        <f>IF(AND(E27&gt;=50,C27&gt;45),(F27*(VLOOKUP(C27,Bullervärdering!$A$3:$I$30,8)*(C27)-VLOOKUP(C27,Bullervärdering!$A$3:$I$30,8)*VLOOKUP(C27,Bullervärdering!$A$3:$I$30,1)+VLOOKUP(C27,Bullervärdering!$A$3:$I$30,2)-(VLOOKUP(E27,Bullervärdering!$A$3:$I$30,8)*(E27)-VLOOKUP(E27,Bullervärdering!$A$3:$I$30,8)*VLOOKUP(E27,Bullervärdering!$A$3:$I$30,1)+VLOOKUP(E27,Bullervärdering!$A$3:$I$30,2)))),(F27*(VLOOKUP(C27,Bullervärdering!$A$3:$I$30,8)*(C27)-VLOOKUP(C27,Bullervärdering!$A$3:$I$30,8)*VLOOKUP(C27,Bullervärdering!$A$3:$I$30,1)+VLOOKUP(C27,Bullervärdering!$A$3:$I$30,2)-(VLOOKUP($K$15,Bullervärdering!$A$3:$I$30,8)*($K$15)-VLOOKUP($K$15,Bullervärdering!$A$3:$I$30,8)*VLOOKUP($K$15,Bullervärdering!$A$3:$I$30,1)+VLOOKUP($K$15,Bullervärdering!$A$3:$I$30,2)))))</f>
        <v>#N/A</v>
      </c>
      <c r="L27" s="283">
        <f t="shared" si="3"/>
        <v>0</v>
      </c>
      <c r="M27" s="324">
        <f t="shared" si="4"/>
        <v>0</v>
      </c>
      <c r="N27" s="289"/>
    </row>
    <row r="28" spans="2:44" x14ac:dyDescent="0.25">
      <c r="B28" s="212"/>
      <c r="C28" s="249"/>
      <c r="D28" s="190">
        <v>30</v>
      </c>
      <c r="E28" s="262"/>
      <c r="F28" s="251"/>
      <c r="G28" s="81">
        <f t="shared" si="0"/>
        <v>0</v>
      </c>
      <c r="H28" s="81">
        <f t="shared" si="2"/>
        <v>0</v>
      </c>
      <c r="I28" s="324">
        <f t="shared" si="1"/>
        <v>30</v>
      </c>
      <c r="J28" s="328">
        <f>IF((C28-D28)&gt;25,(F28*(VLOOKUP(C28-D28,Bullervärdering!$E$3:$I$30,3)*(C28-D28)-VLOOKUP(C28-D28,Bullervärdering!$E$3:$I$30,3)*VLOOKUP(C28-D28,Bullervärdering!$E$3:$I$30,1)+VLOOKUP(C28-D28,Bullervärdering!$E$3:$I$30,2)-IF((C28-I28)&gt;25,(VLOOKUP(C28-I28,Bullervärdering!$E$3:$I$30,3)*(C28-I28)-VLOOKUP(C28-I28,Bullervärdering!$E$3:$I$30,3)*VLOOKUP(C28-I28,Bullervärdering!$E$3:$I$30,1)+VLOOKUP(C28-I28,Bullervärdering!$E$3:$I$30,2)),0))),0)</f>
        <v>0</v>
      </c>
      <c r="K28" s="328" t="e">
        <f>IF(AND(E28&gt;=50,C28&gt;45),(F28*(VLOOKUP(C28,Bullervärdering!$A$3:$I$30,8)*(C28)-VLOOKUP(C28,Bullervärdering!$A$3:$I$30,8)*VLOOKUP(C28,Bullervärdering!$A$3:$I$30,1)+VLOOKUP(C28,Bullervärdering!$A$3:$I$30,2)-(VLOOKUP(E28,Bullervärdering!$A$3:$I$30,8)*(E28)-VLOOKUP(E28,Bullervärdering!$A$3:$I$30,8)*VLOOKUP(E28,Bullervärdering!$A$3:$I$30,1)+VLOOKUP(E28,Bullervärdering!$A$3:$I$30,2)))),(F28*(VLOOKUP(C28,Bullervärdering!$A$3:$I$30,8)*(C28)-VLOOKUP(C28,Bullervärdering!$A$3:$I$30,8)*VLOOKUP(C28,Bullervärdering!$A$3:$I$30,1)+VLOOKUP(C28,Bullervärdering!$A$3:$I$30,2)-(VLOOKUP($K$15,Bullervärdering!$A$3:$I$30,8)*($K$15)-VLOOKUP($K$15,Bullervärdering!$A$3:$I$30,8)*VLOOKUP($K$15,Bullervärdering!$A$3:$I$30,1)+VLOOKUP($K$15,Bullervärdering!$A$3:$I$30,2)))))</f>
        <v>#N/A</v>
      </c>
      <c r="L28" s="283">
        <f t="shared" si="3"/>
        <v>0</v>
      </c>
      <c r="M28" s="324">
        <f t="shared" si="4"/>
        <v>0</v>
      </c>
      <c r="N28" s="289"/>
    </row>
    <row r="29" spans="2:44" x14ac:dyDescent="0.25">
      <c r="B29" s="212"/>
      <c r="C29" s="250"/>
      <c r="D29" s="74">
        <v>30</v>
      </c>
      <c r="E29" s="263"/>
      <c r="F29" s="54"/>
      <c r="G29" s="81">
        <f t="shared" si="0"/>
        <v>0</v>
      </c>
      <c r="H29" s="81">
        <f t="shared" si="2"/>
        <v>0</v>
      </c>
      <c r="I29" s="324">
        <f t="shared" si="1"/>
        <v>30</v>
      </c>
      <c r="J29" s="328">
        <f>IF((C29-D29)&gt;25,(F29*(VLOOKUP(C29-D29,Bullervärdering!$E$3:$I$30,3)*(C29-D29)-VLOOKUP(C29-D29,Bullervärdering!$E$3:$I$30,3)*VLOOKUP(C29-D29,Bullervärdering!$E$3:$I$30,1)+VLOOKUP(C29-D29,Bullervärdering!$E$3:$I$30,2)-IF((C29-I29)&gt;25,(VLOOKUP(C29-I29,Bullervärdering!$E$3:$I$30,3)*(C29-I29)-VLOOKUP(C29-I29,Bullervärdering!$E$3:$I$30,3)*VLOOKUP(C29-I29,Bullervärdering!$E$3:$I$30,1)+VLOOKUP(C29-I29,Bullervärdering!$E$3:$I$30,2)),0))),0)</f>
        <v>0</v>
      </c>
      <c r="K29" s="328" t="e">
        <f>IF(AND(E29&gt;=50,C29&gt;45),(F29*(VLOOKUP(C29,Bullervärdering!$A$3:$I$30,8)*(C29)-VLOOKUP(C29,Bullervärdering!$A$3:$I$30,8)*VLOOKUP(C29,Bullervärdering!$A$3:$I$30,1)+VLOOKUP(C29,Bullervärdering!$A$3:$I$30,2)-(VLOOKUP(E29,Bullervärdering!$A$3:$I$30,8)*(E29)-VLOOKUP(E29,Bullervärdering!$A$3:$I$30,8)*VLOOKUP(E29,Bullervärdering!$A$3:$I$30,1)+VLOOKUP(E29,Bullervärdering!$A$3:$I$30,2)))),(F29*(VLOOKUP(C29,Bullervärdering!$A$3:$I$30,8)*(C29)-VLOOKUP(C29,Bullervärdering!$A$3:$I$30,8)*VLOOKUP(C29,Bullervärdering!$A$3:$I$30,1)+VLOOKUP(C29,Bullervärdering!$A$3:$I$30,2)-(VLOOKUP($K$15,Bullervärdering!$A$3:$I$30,8)*($K$15)-VLOOKUP($K$15,Bullervärdering!$A$3:$I$30,8)*VLOOKUP($K$15,Bullervärdering!$A$3:$I$30,1)+VLOOKUP($K$15,Bullervärdering!$A$3:$I$30,2)))))</f>
        <v>#N/A</v>
      </c>
      <c r="L29" s="283">
        <f t="shared" si="3"/>
        <v>0</v>
      </c>
      <c r="M29" s="324">
        <f t="shared" si="4"/>
        <v>0</v>
      </c>
      <c r="N29" s="289"/>
    </row>
    <row r="30" spans="2:44" x14ac:dyDescent="0.25">
      <c r="B30" s="212"/>
      <c r="C30" s="250"/>
      <c r="D30" s="74">
        <v>30</v>
      </c>
      <c r="E30" s="263"/>
      <c r="F30" s="54"/>
      <c r="G30" s="81">
        <f t="shared" si="0"/>
        <v>0</v>
      </c>
      <c r="H30" s="81">
        <f t="shared" si="2"/>
        <v>0</v>
      </c>
      <c r="I30" s="324">
        <f t="shared" si="1"/>
        <v>30</v>
      </c>
      <c r="J30" s="328">
        <f>IF((C30-D30)&gt;25,(F30*(VLOOKUP(C30-D30,Bullervärdering!$E$3:$I$30,3)*(C30-D30)-VLOOKUP(C30-D30,Bullervärdering!$E$3:$I$30,3)*VLOOKUP(C30-D30,Bullervärdering!$E$3:$I$30,1)+VLOOKUP(C30-D30,Bullervärdering!$E$3:$I$30,2)-IF((C30-I30)&gt;25,(VLOOKUP(C30-I30,Bullervärdering!$E$3:$I$30,3)*(C30-I30)-VLOOKUP(C30-I30,Bullervärdering!$E$3:$I$30,3)*VLOOKUP(C30-I30,Bullervärdering!$E$3:$I$30,1)+VLOOKUP(C30-I30,Bullervärdering!$E$3:$I$30,2)),0))),0)</f>
        <v>0</v>
      </c>
      <c r="K30" s="328" t="e">
        <f>IF(AND(E30&gt;=50,C30&gt;45),(F30*(VLOOKUP(C30,Bullervärdering!$A$3:$I$30,8)*(C30)-VLOOKUP(C30,Bullervärdering!$A$3:$I$30,8)*VLOOKUP(C30,Bullervärdering!$A$3:$I$30,1)+VLOOKUP(C30,Bullervärdering!$A$3:$I$30,2)-(VLOOKUP(E30,Bullervärdering!$A$3:$I$30,8)*(E30)-VLOOKUP(E30,Bullervärdering!$A$3:$I$30,8)*VLOOKUP(E30,Bullervärdering!$A$3:$I$30,1)+VLOOKUP(E30,Bullervärdering!$A$3:$I$30,2)))),(F30*(VLOOKUP(C30,Bullervärdering!$A$3:$I$30,8)*(C30)-VLOOKUP(C30,Bullervärdering!$A$3:$I$30,8)*VLOOKUP(C30,Bullervärdering!$A$3:$I$30,1)+VLOOKUP(C30,Bullervärdering!$A$3:$I$30,2)-(VLOOKUP($K$15,Bullervärdering!$A$3:$I$30,8)*($K$15)-VLOOKUP($K$15,Bullervärdering!$A$3:$I$30,8)*VLOOKUP($K$15,Bullervärdering!$A$3:$I$30,1)+VLOOKUP($K$15,Bullervärdering!$A$3:$I$30,2)))))</f>
        <v>#N/A</v>
      </c>
      <c r="L30" s="283">
        <f t="shared" si="3"/>
        <v>0</v>
      </c>
      <c r="M30" s="324">
        <f t="shared" si="4"/>
        <v>0</v>
      </c>
      <c r="N30" s="289"/>
    </row>
    <row r="31" spans="2:44" x14ac:dyDescent="0.25">
      <c r="B31" s="212"/>
      <c r="C31" s="250"/>
      <c r="D31" s="74">
        <v>30</v>
      </c>
      <c r="E31" s="263"/>
      <c r="F31" s="54"/>
      <c r="G31" s="81">
        <f t="shared" si="0"/>
        <v>0</v>
      </c>
      <c r="H31" s="81">
        <f t="shared" si="2"/>
        <v>0</v>
      </c>
      <c r="I31" s="324">
        <f t="shared" si="1"/>
        <v>30</v>
      </c>
      <c r="J31" s="328">
        <f>IF((C31-D31)&gt;25,(F31*(VLOOKUP(C31-D31,Bullervärdering!$E$3:$I$30,3)*(C31-D31)-VLOOKUP(C31-D31,Bullervärdering!$E$3:$I$30,3)*VLOOKUP(C31-D31,Bullervärdering!$E$3:$I$30,1)+VLOOKUP(C31-D31,Bullervärdering!$E$3:$I$30,2)-IF((C31-I31)&gt;25,(VLOOKUP(C31-I31,Bullervärdering!$E$3:$I$30,3)*(C31-I31)-VLOOKUP(C31-I31,Bullervärdering!$E$3:$I$30,3)*VLOOKUP(C31-I31,Bullervärdering!$E$3:$I$30,1)+VLOOKUP(C31-I31,Bullervärdering!$E$3:$I$30,2)),0))),0)</f>
        <v>0</v>
      </c>
      <c r="K31" s="328" t="e">
        <f>IF(AND(E31&gt;=50,C31&gt;45),(F31*(VLOOKUP(C31,Bullervärdering!$A$3:$I$30,8)*(C31)-VLOOKUP(C31,Bullervärdering!$A$3:$I$30,8)*VLOOKUP(C31,Bullervärdering!$A$3:$I$30,1)+VLOOKUP(C31,Bullervärdering!$A$3:$I$30,2)-(VLOOKUP(E31,Bullervärdering!$A$3:$I$30,8)*(E31)-VLOOKUP(E31,Bullervärdering!$A$3:$I$30,8)*VLOOKUP(E31,Bullervärdering!$A$3:$I$30,1)+VLOOKUP(E31,Bullervärdering!$A$3:$I$30,2)))),(F31*(VLOOKUP(C31,Bullervärdering!$A$3:$I$30,8)*(C31)-VLOOKUP(C31,Bullervärdering!$A$3:$I$30,8)*VLOOKUP(C31,Bullervärdering!$A$3:$I$30,1)+VLOOKUP(C31,Bullervärdering!$A$3:$I$30,2)-(VLOOKUP($K$15,Bullervärdering!$A$3:$I$30,8)*($K$15)-VLOOKUP($K$15,Bullervärdering!$A$3:$I$30,8)*VLOOKUP($K$15,Bullervärdering!$A$3:$I$30,1)+VLOOKUP($K$15,Bullervärdering!$A$3:$I$30,2)))))</f>
        <v>#N/A</v>
      </c>
      <c r="L31" s="283">
        <f t="shared" si="3"/>
        <v>0</v>
      </c>
      <c r="M31" s="324">
        <f t="shared" si="4"/>
        <v>0</v>
      </c>
      <c r="N31" s="289"/>
    </row>
    <row r="32" spans="2:44" x14ac:dyDescent="0.25">
      <c r="B32" s="61" t="s">
        <v>36</v>
      </c>
      <c r="C32" s="61"/>
      <c r="D32" s="61"/>
      <c r="E32" s="82"/>
      <c r="F32" s="61"/>
      <c r="G32" s="81">
        <f>SUM(G17:G31)</f>
        <v>114471.53305809223</v>
      </c>
      <c r="H32" s="81">
        <f>SUM(H17:H31)</f>
        <v>106520.22168296434</v>
      </c>
      <c r="I32" s="283"/>
      <c r="J32" s="328">
        <f>SUM(J17:J31)</f>
        <v>114471.53305809223</v>
      </c>
      <c r="K32" s="328" t="e">
        <f>SUM(K17:K31)</f>
        <v>#N/A</v>
      </c>
      <c r="L32" s="289"/>
      <c r="M32" s="289"/>
      <c r="N32" s="289"/>
      <c r="AR32" s="3"/>
    </row>
    <row r="33" spans="1:43" s="3" customFormat="1" ht="13" x14ac:dyDescent="0.3">
      <c r="A33" s="34"/>
      <c r="E33" s="33"/>
      <c r="F33" s="33"/>
      <c r="G33" s="33"/>
      <c r="H33" s="33"/>
      <c r="I33" s="283"/>
      <c r="J33" s="289"/>
      <c r="K33" s="289"/>
      <c r="L33" s="289"/>
      <c r="M33" s="289"/>
      <c r="N33" s="289"/>
      <c r="O33" s="33"/>
      <c r="P33" s="33"/>
      <c r="Q33" s="33"/>
    </row>
    <row r="34" spans="1:43" s="1" customFormat="1" ht="13" x14ac:dyDescent="0.3">
      <c r="A34" s="33"/>
      <c r="B34" s="6" t="s">
        <v>293</v>
      </c>
      <c r="C34" s="6"/>
      <c r="D34" s="6"/>
      <c r="E34" s="34"/>
      <c r="F34" s="34"/>
      <c r="G34" s="34"/>
      <c r="H34" s="34"/>
      <c r="I34" s="288"/>
      <c r="J34" s="287"/>
      <c r="K34" s="287"/>
      <c r="L34" s="287"/>
      <c r="M34" s="287"/>
      <c r="N34" s="287"/>
      <c r="O34" s="34"/>
      <c r="P34" s="34"/>
      <c r="Q34" s="34"/>
      <c r="R34" s="2"/>
      <c r="S34" s="2"/>
      <c r="T34" s="2"/>
      <c r="U34" s="2"/>
      <c r="V34" s="2"/>
      <c r="W34" s="2"/>
      <c r="X34" s="2"/>
      <c r="Y34" s="2"/>
      <c r="Z34" s="2"/>
      <c r="AA34" s="2"/>
      <c r="AB34" s="2"/>
      <c r="AC34" s="2"/>
      <c r="AD34" s="2"/>
      <c r="AE34" s="2"/>
      <c r="AF34" s="2"/>
      <c r="AG34" s="2"/>
      <c r="AH34" s="2"/>
      <c r="AI34" s="2"/>
      <c r="AJ34" s="2"/>
      <c r="AK34" s="2"/>
      <c r="AL34" s="2"/>
      <c r="AM34" s="2"/>
      <c r="AN34" s="2"/>
      <c r="AO34" s="2"/>
    </row>
    <row r="35" spans="1:43" x14ac:dyDescent="0.25">
      <c r="B35" s="213" t="s">
        <v>42</v>
      </c>
      <c r="C35" s="264">
        <v>300</v>
      </c>
      <c r="D35" s="213" t="s">
        <v>44</v>
      </c>
      <c r="E35" s="33"/>
      <c r="F35" s="33"/>
      <c r="G35" s="33"/>
      <c r="H35" s="33"/>
      <c r="I35" s="283"/>
      <c r="J35" s="289"/>
      <c r="K35" s="289"/>
      <c r="L35" s="289"/>
      <c r="M35" s="289"/>
      <c r="N35" s="289"/>
      <c r="AP35"/>
      <c r="AQ35"/>
    </row>
    <row r="36" spans="1:43" x14ac:dyDescent="0.25">
      <c r="B36" s="213" t="s">
        <v>64</v>
      </c>
      <c r="C36" s="264">
        <v>2</v>
      </c>
      <c r="D36" s="213" t="s">
        <v>65</v>
      </c>
      <c r="E36" s="33"/>
      <c r="F36" s="33"/>
      <c r="G36" s="33"/>
      <c r="H36" s="33"/>
      <c r="AP36"/>
      <c r="AQ36"/>
    </row>
    <row r="37" spans="1:43" ht="13" x14ac:dyDescent="0.3">
      <c r="A37" s="34"/>
      <c r="B37" s="210" t="s">
        <v>43</v>
      </c>
      <c r="C37" s="235">
        <v>1350000</v>
      </c>
      <c r="D37" s="210" t="s">
        <v>10</v>
      </c>
      <c r="E37" s="33"/>
      <c r="F37" s="33"/>
      <c r="G37" s="33"/>
      <c r="H37" s="33"/>
      <c r="AP37"/>
      <c r="AQ37"/>
    </row>
    <row r="38" spans="1:43" x14ac:dyDescent="0.25">
      <c r="B38" s="210" t="s">
        <v>45</v>
      </c>
      <c r="C38" s="265">
        <f>Åtgärdskostnad!C16</f>
        <v>71</v>
      </c>
      <c r="D38" s="213" t="s">
        <v>80</v>
      </c>
      <c r="E38" s="33"/>
      <c r="F38" s="33"/>
      <c r="G38" s="33"/>
      <c r="H38" s="33"/>
      <c r="AP38"/>
      <c r="AQ38"/>
    </row>
    <row r="39" spans="1:43" x14ac:dyDescent="0.25">
      <c r="B39" s="210" t="s">
        <v>46</v>
      </c>
      <c r="C39" s="336">
        <f>C35*C38</f>
        <v>21300</v>
      </c>
      <c r="D39" s="213" t="s">
        <v>28</v>
      </c>
      <c r="E39" s="33"/>
      <c r="F39" s="33"/>
      <c r="G39" s="33"/>
      <c r="H39" s="33"/>
      <c r="AP39"/>
      <c r="AQ39"/>
    </row>
    <row r="40" spans="1:43" s="3" customFormat="1" x14ac:dyDescent="0.25">
      <c r="A40" s="33"/>
      <c r="E40" s="33"/>
      <c r="F40" s="33"/>
      <c r="G40" s="33"/>
      <c r="H40" s="33"/>
      <c r="I40" s="40"/>
      <c r="J40" s="33"/>
      <c r="K40" s="33"/>
      <c r="L40" s="33"/>
      <c r="M40" s="33"/>
      <c r="N40" s="33"/>
      <c r="O40" s="33"/>
      <c r="P40" s="33"/>
      <c r="Q40" s="33"/>
    </row>
    <row r="41" spans="1:43" s="1" customFormat="1" ht="13" x14ac:dyDescent="0.3">
      <c r="A41" s="33"/>
      <c r="B41" s="6" t="s">
        <v>5</v>
      </c>
      <c r="C41" s="6"/>
      <c r="D41" s="6"/>
      <c r="E41" s="33"/>
      <c r="F41" s="34"/>
      <c r="G41" s="34"/>
      <c r="H41" s="34"/>
      <c r="I41" s="41"/>
      <c r="J41" s="34"/>
      <c r="K41" s="34"/>
      <c r="L41" s="34"/>
      <c r="M41" s="34"/>
      <c r="N41" s="34"/>
      <c r="O41" s="34"/>
      <c r="P41" s="34"/>
      <c r="Q41" s="34"/>
      <c r="R41" s="2"/>
      <c r="S41" s="2"/>
      <c r="T41" s="2"/>
      <c r="U41" s="2"/>
      <c r="V41" s="2"/>
      <c r="W41" s="2"/>
      <c r="X41" s="2"/>
      <c r="Y41" s="2"/>
      <c r="Z41" s="2"/>
      <c r="AA41" s="2"/>
      <c r="AB41" s="2"/>
      <c r="AC41" s="2"/>
      <c r="AD41" s="2"/>
      <c r="AE41" s="2"/>
      <c r="AF41" s="2"/>
      <c r="AG41" s="2"/>
      <c r="AH41" s="2"/>
      <c r="AI41" s="2"/>
      <c r="AJ41" s="2"/>
      <c r="AK41" s="2"/>
      <c r="AL41" s="2"/>
      <c r="AM41" s="2"/>
      <c r="AN41" s="2"/>
    </row>
    <row r="42" spans="1:43" x14ac:dyDescent="0.25">
      <c r="B42" s="210"/>
      <c r="C42" s="192"/>
      <c r="D42" s="193"/>
      <c r="E42" s="33"/>
      <c r="F42" s="33"/>
      <c r="G42" s="33"/>
      <c r="H42" s="33"/>
      <c r="AO42"/>
      <c r="AP42"/>
      <c r="AQ42"/>
    </row>
    <row r="43" spans="1:43" ht="13" x14ac:dyDescent="0.3">
      <c r="B43" s="213" t="s">
        <v>138</v>
      </c>
      <c r="C43" s="260">
        <f>C37</f>
        <v>1350000</v>
      </c>
      <c r="D43" s="237"/>
      <c r="E43" s="33"/>
      <c r="F43" s="33"/>
      <c r="G43" s="33"/>
      <c r="H43" s="33"/>
      <c r="AO43"/>
      <c r="AP43"/>
      <c r="AQ43"/>
    </row>
    <row r="44" spans="1:43" ht="13" x14ac:dyDescent="0.3">
      <c r="B44" s="17"/>
      <c r="C44" s="20"/>
      <c r="D44" s="20"/>
      <c r="E44" s="33"/>
      <c r="F44" s="33"/>
      <c r="G44" s="33"/>
      <c r="H44" s="33"/>
      <c r="AO44"/>
      <c r="AP44"/>
      <c r="AQ44"/>
    </row>
    <row r="45" spans="1:43" x14ac:dyDescent="0.25">
      <c r="B45" s="210"/>
      <c r="C45" s="342" t="s">
        <v>23</v>
      </c>
      <c r="D45" s="339" t="s">
        <v>41</v>
      </c>
      <c r="E45" s="33"/>
      <c r="F45" s="33"/>
      <c r="G45" s="33"/>
      <c r="H45" s="33"/>
      <c r="AO45"/>
      <c r="AP45"/>
      <c r="AQ45"/>
    </row>
    <row r="46" spans="1:43" ht="13" x14ac:dyDescent="0.3">
      <c r="B46" s="213" t="s">
        <v>50</v>
      </c>
      <c r="C46" s="215">
        <f>C39</f>
        <v>21300</v>
      </c>
      <c r="D46" s="237">
        <f>NuvVall!G64</f>
        <v>531322.83671869419</v>
      </c>
      <c r="E46" s="33"/>
      <c r="F46" s="33"/>
      <c r="G46" s="33"/>
      <c r="H46" s="33"/>
      <c r="AO46"/>
      <c r="AP46"/>
      <c r="AQ46"/>
    </row>
    <row r="47" spans="1:43" s="3" customFormat="1" x14ac:dyDescent="0.25">
      <c r="A47" s="33"/>
      <c r="B47" s="266"/>
      <c r="C47" s="266"/>
      <c r="D47" s="266"/>
      <c r="E47" s="33"/>
      <c r="F47" s="33"/>
      <c r="G47" s="33"/>
      <c r="H47" s="33"/>
      <c r="I47" s="40"/>
      <c r="J47" s="33"/>
      <c r="K47" s="33"/>
      <c r="L47" s="33"/>
      <c r="M47" s="33"/>
      <c r="N47" s="33"/>
      <c r="O47" s="33"/>
      <c r="P47" s="33"/>
      <c r="Q47" s="33"/>
    </row>
    <row r="48" spans="1:43" x14ac:dyDescent="0.25">
      <c r="B48" s="210"/>
      <c r="C48" s="192" t="s">
        <v>139</v>
      </c>
      <c r="D48" s="193" t="s">
        <v>41</v>
      </c>
      <c r="E48" s="33"/>
      <c r="F48" s="40"/>
      <c r="G48" s="40"/>
      <c r="H48" s="40"/>
      <c r="J48" s="40"/>
      <c r="K48" s="40"/>
      <c r="L48" s="40"/>
      <c r="M48" s="40"/>
      <c r="N48" s="37"/>
      <c r="O48" s="37"/>
      <c r="P48" s="37"/>
      <c r="AO48"/>
      <c r="AP48"/>
      <c r="AQ48"/>
    </row>
    <row r="49" spans="1:43" ht="13" x14ac:dyDescent="0.3">
      <c r="B49" s="213" t="s">
        <v>54</v>
      </c>
      <c r="C49" s="217">
        <f>G32</f>
        <v>114471.53305809223</v>
      </c>
      <c r="D49" s="240">
        <f>NuvVall!C64</f>
        <v>3610207.3443254284</v>
      </c>
      <c r="E49" s="33"/>
      <c r="F49" s="40"/>
      <c r="G49" s="40"/>
      <c r="H49" s="40"/>
      <c r="J49" s="40"/>
      <c r="K49" s="40"/>
      <c r="L49" s="40"/>
      <c r="M49" s="40"/>
      <c r="N49" s="37"/>
      <c r="O49" s="37"/>
      <c r="P49" s="37"/>
      <c r="AO49"/>
      <c r="AP49"/>
      <c r="AQ49"/>
    </row>
    <row r="50" spans="1:43" ht="13" x14ac:dyDescent="0.3">
      <c r="B50" s="213" t="s">
        <v>53</v>
      </c>
      <c r="C50" s="217">
        <f>H32</f>
        <v>106520.22168296434</v>
      </c>
      <c r="D50" s="240">
        <f>NuvVall!E64</f>
        <v>3359438.5989733632</v>
      </c>
      <c r="E50" s="33"/>
      <c r="F50" s="40"/>
      <c r="G50" s="40"/>
      <c r="H50" s="40"/>
      <c r="J50" s="40"/>
      <c r="K50" s="40"/>
      <c r="L50" s="40"/>
      <c r="M50" s="40"/>
      <c r="N50" s="37"/>
      <c r="O50" s="37"/>
      <c r="P50" s="37"/>
      <c r="AO50"/>
      <c r="AP50"/>
      <c r="AQ50"/>
    </row>
    <row r="51" spans="1:43" ht="13" x14ac:dyDescent="0.3">
      <c r="B51" s="17"/>
      <c r="C51" s="21"/>
      <c r="D51" s="22"/>
      <c r="E51" s="33"/>
      <c r="F51" s="40"/>
      <c r="G51" s="40"/>
      <c r="H51" s="40"/>
      <c r="J51" s="40"/>
      <c r="K51" s="40"/>
      <c r="L51" s="40"/>
      <c r="M51" s="40"/>
      <c r="N51" s="37"/>
      <c r="O51" s="37"/>
      <c r="P51" s="37"/>
      <c r="AO51"/>
      <c r="AP51"/>
      <c r="AQ51"/>
    </row>
    <row r="52" spans="1:43" ht="13" x14ac:dyDescent="0.3">
      <c r="B52" s="210" t="s">
        <v>4</v>
      </c>
      <c r="C52" s="223">
        <f>D49+D50</f>
        <v>6969645.9432987915</v>
      </c>
      <c r="D52" s="241"/>
      <c r="E52" s="33"/>
      <c r="F52" s="40"/>
      <c r="G52" s="40"/>
      <c r="H52" s="40"/>
      <c r="J52" s="40"/>
      <c r="K52" s="40"/>
      <c r="L52" s="40"/>
      <c r="M52" s="40"/>
      <c r="N52" s="37"/>
      <c r="O52" s="37"/>
      <c r="P52" s="37"/>
      <c r="AO52"/>
      <c r="AP52"/>
      <c r="AQ52"/>
    </row>
    <row r="53" spans="1:43" ht="13" x14ac:dyDescent="0.3">
      <c r="B53" s="219" t="s">
        <v>314</v>
      </c>
      <c r="C53" s="224">
        <f>C43+D46</f>
        <v>1881322.8367186943</v>
      </c>
      <c r="D53" s="241"/>
      <c r="E53" s="33"/>
      <c r="F53" s="33"/>
      <c r="G53" s="33"/>
      <c r="H53" s="33"/>
      <c r="AO53"/>
      <c r="AP53"/>
      <c r="AQ53"/>
    </row>
    <row r="54" spans="1:43" ht="13" x14ac:dyDescent="0.3">
      <c r="B54" s="219" t="s">
        <v>315</v>
      </c>
      <c r="C54" s="224">
        <f>+C53*C11</f>
        <v>376264.56734373886</v>
      </c>
      <c r="D54" s="241"/>
      <c r="E54" s="33"/>
      <c r="F54" s="33"/>
      <c r="G54" s="33"/>
      <c r="H54" s="33"/>
      <c r="AO54"/>
      <c r="AP54"/>
      <c r="AQ54"/>
    </row>
    <row r="55" spans="1:43" s="3" customFormat="1" x14ac:dyDescent="0.25">
      <c r="A55" s="33"/>
      <c r="D55" s="18"/>
      <c r="E55" s="271"/>
      <c r="F55" s="33"/>
      <c r="G55" s="33"/>
      <c r="H55" s="33"/>
      <c r="I55" s="314"/>
      <c r="J55" s="33"/>
      <c r="K55" s="33"/>
      <c r="L55" s="33"/>
      <c r="M55" s="33"/>
      <c r="N55" s="33"/>
      <c r="O55" s="33"/>
      <c r="P55" s="33"/>
      <c r="Q55" s="33"/>
    </row>
    <row r="56" spans="1:43" s="5" customFormat="1" ht="17.5" x14ac:dyDescent="0.35">
      <c r="A56" s="33"/>
      <c r="B56" s="71" t="s">
        <v>267</v>
      </c>
      <c r="C56" s="352">
        <f>C52-C53-C54</f>
        <v>4712058.5392363584</v>
      </c>
      <c r="D56" s="14"/>
      <c r="E56" s="272"/>
      <c r="F56" s="31"/>
      <c r="G56" s="31"/>
      <c r="H56" s="31"/>
      <c r="I56" s="315"/>
      <c r="J56" s="31"/>
      <c r="K56" s="31"/>
      <c r="L56" s="31"/>
      <c r="M56" s="31"/>
      <c r="N56" s="31"/>
      <c r="O56" s="31"/>
      <c r="P56" s="31"/>
      <c r="Q56" s="31"/>
      <c r="R56" s="4"/>
      <c r="S56" s="4"/>
      <c r="T56" s="4"/>
      <c r="U56" s="4"/>
      <c r="V56" s="4"/>
      <c r="W56" s="4"/>
      <c r="X56" s="4"/>
      <c r="Y56" s="4"/>
      <c r="Z56" s="4"/>
      <c r="AA56" s="4"/>
      <c r="AB56" s="4"/>
      <c r="AC56" s="4"/>
      <c r="AD56" s="4"/>
      <c r="AE56" s="4"/>
      <c r="AF56" s="4"/>
      <c r="AG56" s="4"/>
      <c r="AH56" s="4"/>
      <c r="AI56" s="4"/>
      <c r="AJ56" s="4"/>
      <c r="AK56" s="4"/>
      <c r="AL56" s="4"/>
      <c r="AM56" s="4"/>
      <c r="AN56" s="4"/>
      <c r="AO56" s="4"/>
      <c r="AP56" s="4"/>
      <c r="AQ56" s="4"/>
    </row>
    <row r="57" spans="1:43" s="3" customFormat="1" x14ac:dyDescent="0.25">
      <c r="A57" s="33"/>
      <c r="C57" s="45"/>
      <c r="E57" s="33"/>
      <c r="F57" s="33"/>
      <c r="G57" s="33"/>
      <c r="H57" s="33"/>
      <c r="I57" s="40"/>
      <c r="J57" s="33"/>
      <c r="K57" s="33"/>
      <c r="L57" s="33"/>
      <c r="M57" s="33"/>
      <c r="N57" s="33"/>
      <c r="O57" s="33"/>
      <c r="P57" s="33"/>
      <c r="Q57" s="33"/>
    </row>
    <row r="58" spans="1:43" s="3" customFormat="1" ht="17.5" x14ac:dyDescent="0.35">
      <c r="A58" s="33"/>
      <c r="B58" s="71" t="s">
        <v>268</v>
      </c>
      <c r="C58" s="353">
        <f>+C56/C53</f>
        <v>2.5046517520910374</v>
      </c>
      <c r="E58" s="33"/>
      <c r="F58" s="33"/>
      <c r="G58" s="33"/>
      <c r="H58" s="33"/>
      <c r="I58" s="40"/>
      <c r="J58" s="33"/>
      <c r="K58" s="33"/>
      <c r="L58" s="33"/>
      <c r="M58" s="33"/>
      <c r="N58" s="33"/>
      <c r="O58" s="33"/>
      <c r="P58" s="33"/>
      <c r="Q58" s="33"/>
    </row>
    <row r="59" spans="1:43" s="3" customFormat="1" ht="17.5" x14ac:dyDescent="0.35">
      <c r="A59" s="33"/>
      <c r="B59" s="189"/>
      <c r="C59" s="351"/>
      <c r="E59" s="33"/>
      <c r="F59" s="33"/>
      <c r="G59" s="33"/>
      <c r="H59" s="33"/>
      <c r="I59" s="40"/>
      <c r="J59" s="33"/>
      <c r="K59" s="33"/>
      <c r="L59" s="33"/>
      <c r="M59" s="33"/>
      <c r="N59" s="33"/>
      <c r="O59" s="33"/>
      <c r="P59" s="33"/>
      <c r="Q59" s="33"/>
    </row>
    <row r="60" spans="1:43" s="3" customFormat="1" ht="17.5" x14ac:dyDescent="0.35">
      <c r="A60" s="33"/>
      <c r="B60" s="71" t="s">
        <v>277</v>
      </c>
      <c r="C60" s="353">
        <f>+(C52-C54)/C53</f>
        <v>3.5046517520910374</v>
      </c>
      <c r="E60" s="33"/>
      <c r="F60" s="33"/>
      <c r="G60" s="33"/>
      <c r="H60" s="33"/>
      <c r="I60" s="40"/>
      <c r="J60" s="33"/>
      <c r="K60" s="33"/>
      <c r="L60" s="33"/>
      <c r="M60" s="33"/>
      <c r="N60" s="33"/>
      <c r="O60" s="33"/>
      <c r="P60" s="33"/>
      <c r="Q60" s="33"/>
    </row>
    <row r="61" spans="1:43" s="3" customFormat="1" x14ac:dyDescent="0.25">
      <c r="A61" s="33"/>
      <c r="E61" s="33"/>
      <c r="F61" s="33"/>
      <c r="G61" s="33"/>
      <c r="H61" s="33"/>
      <c r="I61" s="40"/>
      <c r="J61" s="33"/>
      <c r="K61" s="33"/>
      <c r="L61" s="33"/>
      <c r="M61" s="33"/>
      <c r="N61" s="33"/>
      <c r="O61" s="33"/>
      <c r="P61" s="33"/>
      <c r="Q61" s="33"/>
    </row>
    <row r="62" spans="1:43" s="3" customFormat="1" x14ac:dyDescent="0.25">
      <c r="A62" s="33"/>
      <c r="E62" s="33"/>
      <c r="F62" s="33"/>
      <c r="G62" s="33"/>
      <c r="H62" s="33"/>
      <c r="I62" s="40"/>
      <c r="J62" s="33"/>
      <c r="K62" s="33"/>
      <c r="L62" s="33"/>
      <c r="M62" s="33"/>
      <c r="N62" s="33"/>
      <c r="O62" s="33"/>
      <c r="P62" s="33"/>
      <c r="Q62" s="33"/>
    </row>
    <row r="63" spans="1:43" s="3" customFormat="1" x14ac:dyDescent="0.25">
      <c r="A63" s="33"/>
      <c r="E63" s="33"/>
      <c r="F63" s="33"/>
      <c r="G63" s="33"/>
      <c r="H63" s="33"/>
      <c r="I63" s="40"/>
      <c r="J63" s="33"/>
      <c r="K63" s="33"/>
      <c r="L63" s="33"/>
      <c r="M63" s="33"/>
      <c r="N63" s="33"/>
      <c r="O63" s="33"/>
      <c r="P63" s="33"/>
      <c r="Q63" s="33"/>
    </row>
    <row r="64" spans="1:43" s="3" customFormat="1" x14ac:dyDescent="0.25">
      <c r="A64" s="33"/>
      <c r="E64" s="33"/>
      <c r="F64" s="33"/>
      <c r="G64" s="33"/>
      <c r="H64" s="33"/>
      <c r="I64" s="40"/>
      <c r="J64" s="33"/>
      <c r="K64" s="33"/>
      <c r="L64" s="33"/>
      <c r="M64" s="33"/>
      <c r="N64" s="33"/>
      <c r="O64" s="33"/>
      <c r="P64" s="33"/>
      <c r="Q64" s="33"/>
    </row>
    <row r="65" spans="1:17" s="3" customFormat="1" x14ac:dyDescent="0.25">
      <c r="A65" s="33"/>
      <c r="E65" s="33"/>
      <c r="F65" s="33"/>
      <c r="G65" s="33"/>
      <c r="H65" s="33"/>
      <c r="I65" s="40"/>
      <c r="J65" s="33"/>
      <c r="K65" s="33"/>
      <c r="L65" s="33"/>
      <c r="M65" s="33"/>
      <c r="N65" s="33"/>
      <c r="O65" s="33"/>
      <c r="P65" s="33"/>
      <c r="Q65" s="33"/>
    </row>
    <row r="66" spans="1:17" s="3" customFormat="1" x14ac:dyDescent="0.25">
      <c r="A66" s="33"/>
      <c r="E66" s="33"/>
      <c r="F66" s="33"/>
      <c r="G66" s="33"/>
      <c r="H66" s="33"/>
      <c r="I66" s="40"/>
      <c r="J66" s="33"/>
      <c r="K66" s="33"/>
      <c r="L66" s="33"/>
      <c r="M66" s="33"/>
      <c r="N66" s="33"/>
      <c r="O66" s="33"/>
      <c r="P66" s="33"/>
      <c r="Q66" s="33"/>
    </row>
    <row r="67" spans="1:17" s="3" customFormat="1" x14ac:dyDescent="0.25">
      <c r="A67" s="33"/>
      <c r="E67" s="33"/>
      <c r="F67" s="33"/>
      <c r="G67" s="33"/>
      <c r="H67" s="33"/>
      <c r="I67" s="40"/>
      <c r="J67" s="33"/>
      <c r="K67" s="33"/>
      <c r="L67" s="33"/>
      <c r="M67" s="33"/>
      <c r="N67" s="33"/>
      <c r="O67" s="33"/>
      <c r="P67" s="33"/>
      <c r="Q67" s="33"/>
    </row>
    <row r="68" spans="1:17" s="3" customFormat="1" x14ac:dyDescent="0.25">
      <c r="A68" s="33"/>
      <c r="E68" s="33"/>
      <c r="F68" s="33"/>
      <c r="G68" s="33"/>
      <c r="H68" s="33"/>
      <c r="I68" s="40"/>
      <c r="J68" s="33"/>
      <c r="K68" s="33"/>
      <c r="L68" s="33"/>
      <c r="M68" s="33"/>
      <c r="N68" s="33"/>
      <c r="O68" s="33"/>
      <c r="P68" s="33"/>
      <c r="Q68" s="33"/>
    </row>
    <row r="69" spans="1:17" s="3" customFormat="1" x14ac:dyDescent="0.25">
      <c r="A69" s="33"/>
      <c r="E69" s="33"/>
      <c r="F69" s="33"/>
      <c r="G69" s="33"/>
      <c r="H69" s="33"/>
      <c r="I69" s="40"/>
      <c r="J69" s="33"/>
      <c r="K69" s="33"/>
      <c r="L69" s="33"/>
      <c r="M69" s="33"/>
      <c r="N69" s="33"/>
      <c r="O69" s="33"/>
      <c r="P69" s="33"/>
      <c r="Q69" s="33"/>
    </row>
    <row r="70" spans="1:17" s="3" customFormat="1" x14ac:dyDescent="0.25">
      <c r="A70" s="33"/>
      <c r="E70" s="33"/>
      <c r="F70" s="33"/>
      <c r="G70" s="33"/>
      <c r="H70" s="33"/>
      <c r="I70" s="40"/>
      <c r="J70" s="33"/>
      <c r="K70" s="33"/>
      <c r="L70" s="33"/>
      <c r="M70" s="33"/>
      <c r="N70" s="33"/>
      <c r="O70" s="33"/>
      <c r="P70" s="33"/>
      <c r="Q70" s="33"/>
    </row>
    <row r="71" spans="1:17" s="3" customFormat="1" x14ac:dyDescent="0.25">
      <c r="A71" s="33"/>
      <c r="E71" s="33"/>
      <c r="F71" s="33"/>
      <c r="G71" s="33"/>
      <c r="H71" s="33"/>
      <c r="I71" s="40"/>
      <c r="J71" s="33"/>
      <c r="K71" s="33"/>
      <c r="L71" s="33"/>
      <c r="M71" s="33"/>
      <c r="N71" s="33"/>
      <c r="O71" s="33"/>
      <c r="P71" s="33"/>
      <c r="Q71" s="33"/>
    </row>
    <row r="72" spans="1:17" s="3" customFormat="1" x14ac:dyDescent="0.25">
      <c r="A72" s="33"/>
      <c r="E72" s="33"/>
      <c r="F72" s="33"/>
      <c r="G72" s="33"/>
      <c r="H72" s="33"/>
      <c r="I72" s="40"/>
      <c r="J72" s="33"/>
      <c r="K72" s="33"/>
      <c r="L72" s="33"/>
      <c r="M72" s="33"/>
      <c r="N72" s="33"/>
      <c r="O72" s="33"/>
      <c r="P72" s="33"/>
      <c r="Q72" s="33"/>
    </row>
    <row r="73" spans="1:17" s="3" customFormat="1" x14ac:dyDescent="0.25">
      <c r="A73" s="33"/>
      <c r="E73" s="33"/>
      <c r="F73" s="33"/>
      <c r="G73" s="33"/>
      <c r="H73" s="33"/>
      <c r="I73" s="40"/>
      <c r="J73" s="33"/>
      <c r="K73" s="33"/>
      <c r="L73" s="33"/>
      <c r="M73" s="33"/>
      <c r="N73" s="33"/>
      <c r="O73" s="33"/>
      <c r="P73" s="33"/>
      <c r="Q73" s="33"/>
    </row>
    <row r="74" spans="1:17" s="3" customFormat="1" x14ac:dyDescent="0.25">
      <c r="A74" s="33"/>
      <c r="E74" s="33"/>
      <c r="F74" s="33"/>
      <c r="G74" s="33"/>
      <c r="H74" s="33"/>
      <c r="I74" s="40"/>
      <c r="J74" s="33"/>
      <c r="K74" s="33"/>
      <c r="L74" s="33"/>
      <c r="M74" s="33"/>
      <c r="N74" s="33"/>
      <c r="O74" s="33"/>
      <c r="P74" s="33"/>
      <c r="Q74" s="33"/>
    </row>
    <row r="75" spans="1:17" s="3" customFormat="1" x14ac:dyDescent="0.25">
      <c r="A75" s="33"/>
      <c r="E75" s="33"/>
      <c r="F75" s="33"/>
      <c r="G75" s="33"/>
      <c r="H75" s="33"/>
      <c r="I75" s="40"/>
      <c r="J75" s="33"/>
      <c r="K75" s="33"/>
      <c r="L75" s="33"/>
      <c r="M75" s="33"/>
      <c r="N75" s="33"/>
      <c r="O75" s="33"/>
      <c r="P75" s="33"/>
      <c r="Q75" s="33"/>
    </row>
    <row r="76" spans="1:17" s="3" customFormat="1" x14ac:dyDescent="0.25">
      <c r="A76" s="33"/>
      <c r="E76" s="33"/>
      <c r="F76" s="33"/>
      <c r="G76" s="33"/>
      <c r="H76" s="33"/>
      <c r="I76" s="40"/>
      <c r="J76" s="33"/>
      <c r="K76" s="33"/>
      <c r="L76" s="33"/>
      <c r="M76" s="33"/>
      <c r="N76" s="33"/>
      <c r="O76" s="33"/>
      <c r="P76" s="33"/>
      <c r="Q76" s="33"/>
    </row>
    <row r="77" spans="1:17" s="3" customFormat="1" x14ac:dyDescent="0.25">
      <c r="A77" s="33"/>
      <c r="E77" s="33"/>
      <c r="F77" s="33"/>
      <c r="G77" s="33"/>
      <c r="H77" s="33"/>
      <c r="I77" s="40"/>
      <c r="J77" s="33"/>
      <c r="K77" s="33"/>
      <c r="L77" s="33"/>
      <c r="M77" s="33"/>
      <c r="N77" s="33"/>
      <c r="O77" s="33"/>
      <c r="P77" s="33"/>
      <c r="Q77" s="33"/>
    </row>
    <row r="78" spans="1:17" s="3" customFormat="1" x14ac:dyDescent="0.25">
      <c r="A78" s="33"/>
      <c r="E78" s="33"/>
      <c r="F78" s="33"/>
      <c r="G78" s="33"/>
      <c r="H78" s="33"/>
      <c r="I78" s="40"/>
      <c r="J78" s="33"/>
      <c r="K78" s="33"/>
      <c r="L78" s="33"/>
      <c r="M78" s="33"/>
      <c r="N78" s="33"/>
      <c r="O78" s="33"/>
      <c r="P78" s="33"/>
      <c r="Q78" s="33"/>
    </row>
    <row r="79" spans="1:17" s="3" customFormat="1" x14ac:dyDescent="0.25">
      <c r="A79" s="33"/>
      <c r="E79" s="33"/>
      <c r="F79" s="33"/>
      <c r="G79" s="33"/>
      <c r="H79" s="33"/>
      <c r="I79" s="40"/>
      <c r="J79" s="33"/>
      <c r="K79" s="33"/>
      <c r="L79" s="33"/>
      <c r="M79" s="33"/>
      <c r="N79" s="33"/>
      <c r="O79" s="33"/>
      <c r="P79" s="33"/>
      <c r="Q79" s="33"/>
    </row>
    <row r="80" spans="1:17" s="3" customFormat="1" x14ac:dyDescent="0.25">
      <c r="A80" s="33"/>
      <c r="E80" s="33"/>
      <c r="F80" s="33"/>
      <c r="G80" s="33"/>
      <c r="H80" s="33"/>
      <c r="I80" s="40"/>
      <c r="J80" s="33"/>
      <c r="K80" s="33"/>
      <c r="L80" s="33"/>
      <c r="M80" s="33"/>
      <c r="N80" s="33"/>
      <c r="O80" s="33"/>
      <c r="P80" s="33"/>
      <c r="Q80" s="33"/>
    </row>
    <row r="81" spans="1:17" s="3" customFormat="1" x14ac:dyDescent="0.25">
      <c r="A81" s="33"/>
      <c r="E81" s="33"/>
      <c r="F81" s="33"/>
      <c r="G81" s="33"/>
      <c r="H81" s="33"/>
      <c r="I81" s="40"/>
      <c r="J81" s="33"/>
      <c r="K81" s="33"/>
      <c r="L81" s="33"/>
      <c r="M81" s="33"/>
      <c r="N81" s="33"/>
      <c r="O81" s="33"/>
      <c r="P81" s="33"/>
      <c r="Q81" s="33"/>
    </row>
    <row r="82" spans="1:17" s="3" customFormat="1" x14ac:dyDescent="0.25">
      <c r="A82" s="33"/>
      <c r="E82" s="33"/>
      <c r="F82" s="33"/>
      <c r="G82" s="33"/>
      <c r="H82" s="33"/>
      <c r="I82" s="40"/>
      <c r="J82" s="33"/>
      <c r="K82" s="33"/>
      <c r="L82" s="33"/>
      <c r="M82" s="33"/>
      <c r="N82" s="33"/>
      <c r="O82" s="33"/>
      <c r="P82" s="33"/>
      <c r="Q82" s="33"/>
    </row>
    <row r="83" spans="1:17" s="3" customFormat="1" x14ac:dyDescent="0.25">
      <c r="A83" s="33"/>
      <c r="E83" s="33"/>
      <c r="F83" s="33"/>
      <c r="G83" s="33"/>
      <c r="H83" s="33"/>
      <c r="I83" s="40"/>
      <c r="J83" s="33"/>
      <c r="K83" s="33"/>
      <c r="L83" s="33"/>
      <c r="M83" s="33"/>
      <c r="N83" s="33"/>
      <c r="O83" s="33"/>
      <c r="P83" s="33"/>
      <c r="Q83" s="33"/>
    </row>
    <row r="84" spans="1:17" s="3" customFormat="1" x14ac:dyDescent="0.25">
      <c r="A84" s="33"/>
      <c r="E84" s="33"/>
      <c r="F84" s="33"/>
      <c r="G84" s="33"/>
      <c r="H84" s="33"/>
      <c r="I84" s="40"/>
      <c r="J84" s="33"/>
      <c r="K84" s="33"/>
      <c r="L84" s="33"/>
      <c r="M84" s="33"/>
      <c r="N84" s="33"/>
      <c r="O84" s="33"/>
      <c r="P84" s="33"/>
      <c r="Q84" s="33"/>
    </row>
    <row r="85" spans="1:17" s="3" customFormat="1" x14ac:dyDescent="0.25">
      <c r="A85" s="33"/>
      <c r="E85" s="33"/>
      <c r="F85" s="33"/>
      <c r="G85" s="33"/>
      <c r="H85" s="33"/>
      <c r="I85" s="40"/>
      <c r="J85" s="33"/>
      <c r="K85" s="33"/>
      <c r="L85" s="33"/>
      <c r="M85" s="33"/>
      <c r="N85" s="33"/>
      <c r="O85" s="33"/>
      <c r="P85" s="33"/>
      <c r="Q85" s="33"/>
    </row>
    <row r="86" spans="1:17" s="3" customFormat="1" x14ac:dyDescent="0.25">
      <c r="A86" s="33"/>
      <c r="E86" s="33"/>
      <c r="F86" s="33"/>
      <c r="G86" s="33"/>
      <c r="H86" s="33"/>
      <c r="I86" s="40"/>
      <c r="J86" s="33"/>
      <c r="K86" s="33"/>
      <c r="L86" s="33"/>
      <c r="M86" s="33"/>
      <c r="N86" s="33"/>
      <c r="O86" s="33"/>
      <c r="P86" s="33"/>
      <c r="Q86" s="33"/>
    </row>
    <row r="87" spans="1:17" s="3" customFormat="1" x14ac:dyDescent="0.25">
      <c r="A87" s="33"/>
      <c r="E87" s="33"/>
      <c r="F87" s="33"/>
      <c r="G87" s="33"/>
      <c r="H87" s="33"/>
      <c r="I87" s="40"/>
      <c r="J87" s="33"/>
      <c r="K87" s="33"/>
      <c r="L87" s="33"/>
      <c r="M87" s="33"/>
      <c r="N87" s="33"/>
      <c r="O87" s="33"/>
      <c r="P87" s="33"/>
      <c r="Q87" s="33"/>
    </row>
    <row r="88" spans="1:17" s="33" customFormat="1" x14ac:dyDescent="0.25">
      <c r="I88" s="40"/>
    </row>
    <row r="89" spans="1:17" s="33" customFormat="1" x14ac:dyDescent="0.25">
      <c r="I89" s="40"/>
    </row>
    <row r="90" spans="1:17" s="33" customFormat="1" x14ac:dyDescent="0.25">
      <c r="I90" s="40"/>
    </row>
    <row r="91" spans="1:17" s="33" customFormat="1" x14ac:dyDescent="0.25">
      <c r="I91" s="40"/>
    </row>
    <row r="92" spans="1:17" s="33" customFormat="1" x14ac:dyDescent="0.25">
      <c r="I92" s="40"/>
    </row>
    <row r="93" spans="1:17" s="33" customFormat="1" x14ac:dyDescent="0.25">
      <c r="I93" s="40"/>
    </row>
    <row r="94" spans="1:17" s="33" customFormat="1" x14ac:dyDescent="0.25">
      <c r="I94" s="40"/>
    </row>
    <row r="95" spans="1:17" s="33" customFormat="1" x14ac:dyDescent="0.25">
      <c r="I95" s="40"/>
    </row>
    <row r="96" spans="1:17" s="33" customFormat="1" x14ac:dyDescent="0.25">
      <c r="I96" s="40"/>
    </row>
    <row r="97" spans="9:9" s="33" customFormat="1" x14ac:dyDescent="0.25">
      <c r="I97" s="40"/>
    </row>
    <row r="98" spans="9:9" s="33" customFormat="1" x14ac:dyDescent="0.25">
      <c r="I98" s="40"/>
    </row>
    <row r="99" spans="9:9" s="33" customFormat="1" x14ac:dyDescent="0.25">
      <c r="I99" s="40"/>
    </row>
    <row r="100" spans="9:9" s="33" customFormat="1" x14ac:dyDescent="0.25">
      <c r="I100" s="40"/>
    </row>
    <row r="101" spans="9:9" s="33" customFormat="1" x14ac:dyDescent="0.25">
      <c r="I101" s="40"/>
    </row>
    <row r="102" spans="9:9" s="33" customFormat="1" x14ac:dyDescent="0.25">
      <c r="I102" s="40"/>
    </row>
    <row r="103" spans="9:9" s="33" customFormat="1" x14ac:dyDescent="0.25">
      <c r="I103" s="40"/>
    </row>
    <row r="104" spans="9:9" s="33" customFormat="1" x14ac:dyDescent="0.25">
      <c r="I104" s="40"/>
    </row>
    <row r="105" spans="9:9" s="33" customFormat="1" x14ac:dyDescent="0.25">
      <c r="I105" s="40"/>
    </row>
    <row r="106" spans="9:9" s="33" customFormat="1" x14ac:dyDescent="0.25">
      <c r="I106" s="40"/>
    </row>
    <row r="107" spans="9:9" s="33" customFormat="1" x14ac:dyDescent="0.25">
      <c r="I107" s="40"/>
    </row>
    <row r="108" spans="9:9" s="33" customFormat="1" x14ac:dyDescent="0.25">
      <c r="I108" s="40"/>
    </row>
    <row r="109" spans="9:9" s="33" customFormat="1" x14ac:dyDescent="0.25">
      <c r="I109" s="40"/>
    </row>
    <row r="110" spans="9:9" s="33" customFormat="1" x14ac:dyDescent="0.25">
      <c r="I110" s="40"/>
    </row>
    <row r="111" spans="9:9" s="33" customFormat="1" x14ac:dyDescent="0.25">
      <c r="I111" s="40"/>
    </row>
    <row r="112" spans="9:9" s="33" customFormat="1" x14ac:dyDescent="0.25">
      <c r="I112" s="40"/>
    </row>
    <row r="113" spans="9:9" s="33" customFormat="1" x14ac:dyDescent="0.25">
      <c r="I113" s="40"/>
    </row>
    <row r="114" spans="9:9" s="33" customFormat="1" x14ac:dyDescent="0.25">
      <c r="I114" s="40"/>
    </row>
    <row r="115" spans="9:9" s="33" customFormat="1" x14ac:dyDescent="0.25">
      <c r="I115" s="40"/>
    </row>
    <row r="116" spans="9:9" s="33" customFormat="1" x14ac:dyDescent="0.25">
      <c r="I116" s="40"/>
    </row>
    <row r="117" spans="9:9" s="33" customFormat="1" x14ac:dyDescent="0.25">
      <c r="I117" s="40"/>
    </row>
    <row r="118" spans="9:9" s="33" customFormat="1" x14ac:dyDescent="0.25">
      <c r="I118" s="40"/>
    </row>
    <row r="119" spans="9:9" s="33" customFormat="1" x14ac:dyDescent="0.25">
      <c r="I119" s="40"/>
    </row>
    <row r="120" spans="9:9" s="33" customFormat="1" x14ac:dyDescent="0.25">
      <c r="I120" s="40"/>
    </row>
    <row r="121" spans="9:9" s="33" customFormat="1" x14ac:dyDescent="0.25">
      <c r="I121" s="40"/>
    </row>
    <row r="122" spans="9:9" s="33" customFormat="1" x14ac:dyDescent="0.25">
      <c r="I122" s="40"/>
    </row>
    <row r="123" spans="9:9" s="33" customFormat="1" x14ac:dyDescent="0.25">
      <c r="I123" s="40"/>
    </row>
    <row r="124" spans="9:9" s="33" customFormat="1" x14ac:dyDescent="0.25">
      <c r="I124" s="40"/>
    </row>
    <row r="125" spans="9:9" s="33" customFormat="1" x14ac:dyDescent="0.25">
      <c r="I125" s="40"/>
    </row>
    <row r="126" spans="9:9" s="33" customFormat="1" x14ac:dyDescent="0.25">
      <c r="I126" s="40"/>
    </row>
    <row r="127" spans="9:9" s="33" customFormat="1" x14ac:dyDescent="0.25">
      <c r="I127" s="40"/>
    </row>
    <row r="128" spans="9:9" s="33" customFormat="1" x14ac:dyDescent="0.25">
      <c r="I128" s="40"/>
    </row>
    <row r="129" spans="9:9" s="33" customFormat="1" x14ac:dyDescent="0.25">
      <c r="I129" s="40"/>
    </row>
    <row r="130" spans="9:9" s="33" customFormat="1" x14ac:dyDescent="0.25">
      <c r="I130" s="40"/>
    </row>
    <row r="131" spans="9:9" s="33" customFormat="1" x14ac:dyDescent="0.25">
      <c r="I131" s="40"/>
    </row>
    <row r="132" spans="9:9" s="33" customFormat="1" x14ac:dyDescent="0.25">
      <c r="I132" s="40"/>
    </row>
    <row r="133" spans="9:9" s="33" customFormat="1" x14ac:dyDescent="0.25">
      <c r="I133" s="40"/>
    </row>
    <row r="134" spans="9:9" s="33" customFormat="1" x14ac:dyDescent="0.25">
      <c r="I134" s="40"/>
    </row>
    <row r="135" spans="9:9" s="33" customFormat="1" x14ac:dyDescent="0.25">
      <c r="I135" s="40"/>
    </row>
    <row r="136" spans="9:9" s="33" customFormat="1" x14ac:dyDescent="0.25">
      <c r="I136" s="40"/>
    </row>
    <row r="137" spans="9:9" s="33" customFormat="1" x14ac:dyDescent="0.25">
      <c r="I137" s="40"/>
    </row>
    <row r="138" spans="9:9" s="33" customFormat="1" x14ac:dyDescent="0.25">
      <c r="I138" s="40"/>
    </row>
    <row r="139" spans="9:9" s="33" customFormat="1" x14ac:dyDescent="0.25">
      <c r="I139" s="40"/>
    </row>
    <row r="140" spans="9:9" s="33" customFormat="1" x14ac:dyDescent="0.25">
      <c r="I140" s="40"/>
    </row>
    <row r="141" spans="9:9" s="33" customFormat="1" x14ac:dyDescent="0.25">
      <c r="I141" s="40"/>
    </row>
    <row r="142" spans="9:9" s="33" customFormat="1" x14ac:dyDescent="0.25">
      <c r="I142" s="40"/>
    </row>
    <row r="143" spans="9:9" s="33" customFormat="1" x14ac:dyDescent="0.25">
      <c r="I143" s="40"/>
    </row>
    <row r="144" spans="9:9" s="33" customFormat="1" x14ac:dyDescent="0.25">
      <c r="I144" s="40"/>
    </row>
    <row r="145" spans="9:9" s="33" customFormat="1" x14ac:dyDescent="0.25">
      <c r="I145" s="40"/>
    </row>
    <row r="146" spans="9:9" s="33" customFormat="1" x14ac:dyDescent="0.25">
      <c r="I146" s="40"/>
    </row>
    <row r="147" spans="9:9" s="33" customFormat="1" x14ac:dyDescent="0.25">
      <c r="I147" s="40"/>
    </row>
    <row r="148" spans="9:9" s="33" customFormat="1" x14ac:dyDescent="0.25">
      <c r="I148" s="40"/>
    </row>
    <row r="149" spans="9:9" s="33" customFormat="1" x14ac:dyDescent="0.25">
      <c r="I149" s="40"/>
    </row>
    <row r="150" spans="9:9" s="33" customFormat="1" x14ac:dyDescent="0.25">
      <c r="I150" s="40"/>
    </row>
    <row r="151" spans="9:9" s="33" customFormat="1" x14ac:dyDescent="0.25">
      <c r="I151" s="40"/>
    </row>
    <row r="152" spans="9:9" s="33" customFormat="1" x14ac:dyDescent="0.25">
      <c r="I152" s="40"/>
    </row>
    <row r="153" spans="9:9" s="33" customFormat="1" x14ac:dyDescent="0.25">
      <c r="I153" s="40"/>
    </row>
    <row r="154" spans="9:9" s="33" customFormat="1" x14ac:dyDescent="0.25">
      <c r="I154" s="40"/>
    </row>
    <row r="155" spans="9:9" s="33" customFormat="1" x14ac:dyDescent="0.25">
      <c r="I155" s="40"/>
    </row>
    <row r="156" spans="9:9" s="33" customFormat="1" x14ac:dyDescent="0.25">
      <c r="I156" s="40"/>
    </row>
    <row r="157" spans="9:9" s="33" customFormat="1" x14ac:dyDescent="0.25">
      <c r="I157" s="40"/>
    </row>
    <row r="158" spans="9:9" s="33" customFormat="1" x14ac:dyDescent="0.25">
      <c r="I158" s="40"/>
    </row>
    <row r="159" spans="9:9" s="33" customFormat="1" x14ac:dyDescent="0.25">
      <c r="I159" s="40"/>
    </row>
    <row r="160" spans="9:9" s="33" customFormat="1" x14ac:dyDescent="0.25">
      <c r="I160" s="40"/>
    </row>
    <row r="161" spans="9:9" s="33" customFormat="1" x14ac:dyDescent="0.25">
      <c r="I161" s="40"/>
    </row>
    <row r="162" spans="9:9" s="33" customFormat="1" x14ac:dyDescent="0.25">
      <c r="I162" s="40"/>
    </row>
    <row r="163" spans="9:9" s="33" customFormat="1" x14ac:dyDescent="0.25">
      <c r="I163" s="40"/>
    </row>
    <row r="164" spans="9:9" s="33" customFormat="1" x14ac:dyDescent="0.25">
      <c r="I164" s="40"/>
    </row>
    <row r="165" spans="9:9" s="33" customFormat="1" x14ac:dyDescent="0.25">
      <c r="I165" s="40"/>
    </row>
    <row r="166" spans="9:9" s="33" customFormat="1" x14ac:dyDescent="0.25">
      <c r="I166" s="40"/>
    </row>
    <row r="167" spans="9:9" s="33" customFormat="1" x14ac:dyDescent="0.25">
      <c r="I167" s="40"/>
    </row>
    <row r="168" spans="9:9" s="33" customFormat="1" x14ac:dyDescent="0.25">
      <c r="I168" s="40"/>
    </row>
    <row r="169" spans="9:9" s="33" customFormat="1" x14ac:dyDescent="0.25">
      <c r="I169" s="40"/>
    </row>
    <row r="170" spans="9:9" s="33" customFormat="1" x14ac:dyDescent="0.25">
      <c r="I170" s="40"/>
    </row>
    <row r="171" spans="9:9" s="33" customFormat="1" x14ac:dyDescent="0.25">
      <c r="I171" s="40"/>
    </row>
    <row r="172" spans="9:9" s="33" customFormat="1" x14ac:dyDescent="0.25">
      <c r="I172" s="40"/>
    </row>
    <row r="173" spans="9:9" s="33" customFormat="1" x14ac:dyDescent="0.25">
      <c r="I173" s="40"/>
    </row>
    <row r="174" spans="9:9" s="33" customFormat="1" x14ac:dyDescent="0.25">
      <c r="I174" s="40"/>
    </row>
    <row r="175" spans="9:9" s="33" customFormat="1" x14ac:dyDescent="0.25">
      <c r="I175" s="40"/>
    </row>
    <row r="176" spans="9:9" s="33" customFormat="1" x14ac:dyDescent="0.25">
      <c r="I176" s="40"/>
    </row>
    <row r="177" spans="9:9" s="33" customFormat="1" x14ac:dyDescent="0.25">
      <c r="I177" s="40"/>
    </row>
    <row r="178" spans="9:9" s="33" customFormat="1" x14ac:dyDescent="0.25">
      <c r="I178" s="40"/>
    </row>
    <row r="179" spans="9:9" s="33" customFormat="1" x14ac:dyDescent="0.25">
      <c r="I179" s="40"/>
    </row>
    <row r="180" spans="9:9" s="33" customFormat="1" x14ac:dyDescent="0.25">
      <c r="I180" s="40"/>
    </row>
    <row r="181" spans="9:9" s="33" customFormat="1" x14ac:dyDescent="0.25">
      <c r="I181" s="40"/>
    </row>
    <row r="182" spans="9:9" s="33" customFormat="1" x14ac:dyDescent="0.25">
      <c r="I182" s="40"/>
    </row>
    <row r="183" spans="9:9" s="33" customFormat="1" x14ac:dyDescent="0.25">
      <c r="I183" s="40"/>
    </row>
    <row r="184" spans="9:9" s="33" customFormat="1" x14ac:dyDescent="0.25">
      <c r="I184" s="40"/>
    </row>
    <row r="185" spans="9:9" s="33" customFormat="1" x14ac:dyDescent="0.25">
      <c r="I185" s="40"/>
    </row>
    <row r="186" spans="9:9" s="33" customFormat="1" x14ac:dyDescent="0.25">
      <c r="I186" s="40"/>
    </row>
    <row r="187" spans="9:9" s="33" customFormat="1" x14ac:dyDescent="0.25">
      <c r="I187" s="40"/>
    </row>
    <row r="188" spans="9:9" s="33" customFormat="1" x14ac:dyDescent="0.25">
      <c r="I188" s="40"/>
    </row>
    <row r="189" spans="9:9" s="33" customFormat="1" x14ac:dyDescent="0.25">
      <c r="I189" s="40"/>
    </row>
    <row r="190" spans="9:9" s="33" customFormat="1" x14ac:dyDescent="0.25">
      <c r="I190" s="40"/>
    </row>
    <row r="191" spans="9:9" s="33" customFormat="1" x14ac:dyDescent="0.25">
      <c r="I191" s="40"/>
    </row>
    <row r="192" spans="9:9" s="33" customFormat="1" x14ac:dyDescent="0.25">
      <c r="I192" s="40"/>
    </row>
    <row r="193" spans="9:9" s="33" customFormat="1" x14ac:dyDescent="0.25">
      <c r="I193" s="40"/>
    </row>
    <row r="194" spans="9:9" s="33" customFormat="1" x14ac:dyDescent="0.25">
      <c r="I194" s="40"/>
    </row>
    <row r="195" spans="9:9" s="33" customFormat="1" x14ac:dyDescent="0.25">
      <c r="I195" s="40"/>
    </row>
    <row r="196" spans="9:9" s="33" customFormat="1" x14ac:dyDescent="0.25">
      <c r="I196" s="40"/>
    </row>
    <row r="197" spans="9:9" s="33" customFormat="1" x14ac:dyDescent="0.25">
      <c r="I197" s="40"/>
    </row>
    <row r="198" spans="9:9" s="33" customFormat="1" x14ac:dyDescent="0.25">
      <c r="I198" s="40"/>
    </row>
    <row r="199" spans="9:9" s="33" customFormat="1" x14ac:dyDescent="0.25">
      <c r="I199" s="40"/>
    </row>
    <row r="200" spans="9:9" s="33" customFormat="1" x14ac:dyDescent="0.25">
      <c r="I200" s="40"/>
    </row>
    <row r="201" spans="9:9" s="33" customFormat="1" x14ac:dyDescent="0.25">
      <c r="I201" s="40"/>
    </row>
    <row r="202" spans="9:9" s="33" customFormat="1" x14ac:dyDescent="0.25">
      <c r="I202" s="40"/>
    </row>
    <row r="203" spans="9:9" s="33" customFormat="1" x14ac:dyDescent="0.25">
      <c r="I203" s="40"/>
    </row>
    <row r="204" spans="9:9" s="33" customFormat="1" x14ac:dyDescent="0.25">
      <c r="I204" s="40"/>
    </row>
    <row r="205" spans="9:9" s="33" customFormat="1" x14ac:dyDescent="0.25">
      <c r="I205" s="40"/>
    </row>
    <row r="206" spans="9:9" s="33" customFormat="1" x14ac:dyDescent="0.25">
      <c r="I206" s="40"/>
    </row>
    <row r="207" spans="9:9" s="33" customFormat="1" x14ac:dyDescent="0.25">
      <c r="I207" s="40"/>
    </row>
    <row r="208" spans="9:9" s="33" customFormat="1" x14ac:dyDescent="0.25">
      <c r="I208" s="40"/>
    </row>
    <row r="209" spans="6:9" s="33" customFormat="1" x14ac:dyDescent="0.25">
      <c r="I209" s="40"/>
    </row>
    <row r="210" spans="6:9" s="33" customFormat="1" x14ac:dyDescent="0.25">
      <c r="I210" s="40"/>
    </row>
    <row r="211" spans="6:9" s="33" customFormat="1" x14ac:dyDescent="0.25">
      <c r="I211" s="40"/>
    </row>
    <row r="212" spans="6:9" s="33" customFormat="1" x14ac:dyDescent="0.25">
      <c r="I212" s="40"/>
    </row>
    <row r="213" spans="6:9" s="33" customFormat="1" x14ac:dyDescent="0.25">
      <c r="I213" s="40"/>
    </row>
    <row r="214" spans="6:9" s="33" customFormat="1" x14ac:dyDescent="0.25">
      <c r="I214" s="40"/>
    </row>
    <row r="215" spans="6:9" s="33" customFormat="1" x14ac:dyDescent="0.25">
      <c r="I215" s="40"/>
    </row>
    <row r="216" spans="6:9" s="33" customFormat="1" x14ac:dyDescent="0.25">
      <c r="I216" s="40"/>
    </row>
    <row r="217" spans="6:9" s="33" customFormat="1" x14ac:dyDescent="0.25">
      <c r="I217" s="40"/>
    </row>
    <row r="218" spans="6:9" s="33" customFormat="1" x14ac:dyDescent="0.25">
      <c r="I218" s="40"/>
    </row>
    <row r="219" spans="6:9" s="33" customFormat="1" x14ac:dyDescent="0.25">
      <c r="I219" s="40"/>
    </row>
    <row r="220" spans="6:9" s="33" customFormat="1" x14ac:dyDescent="0.25">
      <c r="I220" s="40"/>
    </row>
    <row r="221" spans="6:9" x14ac:dyDescent="0.25">
      <c r="F221" s="33"/>
      <c r="G221" s="33"/>
      <c r="H221" s="33"/>
    </row>
    <row r="222" spans="6:9" x14ac:dyDescent="0.25">
      <c r="F222" s="33"/>
      <c r="G222" s="33"/>
      <c r="H222" s="33"/>
    </row>
  </sheetData>
  <conditionalFormatting sqref="C58:C59">
    <cfRule type="cellIs" dxfId="5" priority="8" operator="lessThan">
      <formula>0</formula>
    </cfRule>
  </conditionalFormatting>
  <conditionalFormatting sqref="C24:C31">
    <cfRule type="iconSet" priority="6">
      <iconSet iconSet="3Symbols" reverse="1">
        <cfvo type="percent" val="0"/>
        <cfvo type="num" val="75.001000000000005"/>
        <cfvo type="num" val="75.001999999999995"/>
      </iconSet>
    </cfRule>
  </conditionalFormatting>
  <conditionalFormatting sqref="C19:C23">
    <cfRule type="iconSet" priority="5">
      <iconSet iconSet="3Symbols" reverse="1">
        <cfvo type="percent" val="0"/>
        <cfvo type="num" val="75.001000000000005"/>
        <cfvo type="num" val="75.001999999999995"/>
      </iconSet>
    </cfRule>
  </conditionalFormatting>
  <conditionalFormatting sqref="C17:C18">
    <cfRule type="iconSet" priority="3">
      <iconSet iconSet="3Symbols" reverse="1">
        <cfvo type="percent" val="0"/>
        <cfvo type="num" val="75.001000000000005"/>
        <cfvo type="num" val="75.001999999999995"/>
      </iconSet>
    </cfRule>
  </conditionalFormatting>
  <conditionalFormatting sqref="C56">
    <cfRule type="cellIs" dxfId="4" priority="2" operator="lessThan">
      <formula>0</formula>
    </cfRule>
  </conditionalFormatting>
  <conditionalFormatting sqref="C60">
    <cfRule type="cellIs" dxfId="3" priority="1" operator="lessThan">
      <formula>0</formula>
    </cfRule>
  </conditionalFormatting>
  <dataValidations count="1">
    <dataValidation type="decimal" allowBlank="1" showInputMessage="1" showErrorMessage="1" errorTitle="Felaktigt värde" error="För hög dBA" sqref="C17:C31" xr:uid="{00000000-0002-0000-0400-000000000000}">
      <formula1>0</formula1>
      <formula2>75</formula2>
    </dataValidation>
  </dataValidations>
  <pageMargins left="0.75" right="0.75" top="1" bottom="1" header="0.5" footer="0.5"/>
  <pageSetup paperSize="9" orientation="landscape" horizontalDpi="300"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Q82"/>
  <sheetViews>
    <sheetView zoomScaleNormal="100" workbookViewId="0">
      <selection activeCell="D54" sqref="D54"/>
    </sheetView>
  </sheetViews>
  <sheetFormatPr defaultRowHeight="12.5" x14ac:dyDescent="0.25"/>
  <cols>
    <col min="1" max="1" width="3.7265625" style="3" customWidth="1"/>
    <col min="2" max="2" width="30.26953125" customWidth="1"/>
    <col min="3" max="3" width="24.54296875" customWidth="1"/>
    <col min="4" max="4" width="26.26953125" customWidth="1"/>
    <col min="5" max="5" width="16.7265625" customWidth="1"/>
    <col min="6" max="6" width="13.81640625" customWidth="1"/>
    <col min="7" max="7" width="11.7265625" style="40" customWidth="1"/>
    <col min="8" max="8" width="20.7265625" style="40" customWidth="1"/>
    <col min="9" max="10" width="11.26953125" style="40" customWidth="1"/>
    <col min="11" max="11" width="11.1796875" style="33" customWidth="1"/>
    <col min="12" max="12" width="9.1796875" style="33"/>
    <col min="13" max="42" width="9.1796875" style="3"/>
  </cols>
  <sheetData>
    <row r="1" spans="1:42" s="5" customFormat="1" ht="17.5" x14ac:dyDescent="0.35">
      <c r="A1" s="4"/>
      <c r="B1" s="71" t="s">
        <v>305</v>
      </c>
      <c r="C1" s="71"/>
      <c r="D1" s="71"/>
      <c r="E1" s="71"/>
      <c r="F1" s="31"/>
      <c r="G1" s="39"/>
      <c r="H1" s="39"/>
      <c r="I1" s="39"/>
      <c r="J1" s="39"/>
      <c r="K1" s="31"/>
      <c r="L1" s="31"/>
      <c r="M1" s="4"/>
      <c r="N1" s="4"/>
      <c r="O1" s="4"/>
      <c r="P1" s="4"/>
      <c r="Q1" s="4"/>
      <c r="R1" s="4"/>
      <c r="S1" s="4"/>
      <c r="T1" s="4"/>
      <c r="U1" s="4"/>
      <c r="V1" s="4"/>
      <c r="W1" s="4"/>
      <c r="X1" s="4"/>
      <c r="Y1" s="4"/>
      <c r="Z1" s="4"/>
      <c r="AA1" s="4"/>
      <c r="AB1" s="4"/>
      <c r="AC1" s="4"/>
      <c r="AD1" s="4"/>
      <c r="AE1" s="4"/>
      <c r="AF1" s="4"/>
      <c r="AG1" s="4"/>
      <c r="AH1" s="4"/>
      <c r="AI1" s="4"/>
      <c r="AJ1" s="4"/>
      <c r="AK1" s="4"/>
      <c r="AL1" s="4"/>
      <c r="AM1" s="4"/>
      <c r="AN1" s="4"/>
    </row>
    <row r="2" spans="1:42" s="8" customFormat="1" x14ac:dyDescent="0.25">
      <c r="A2" s="7"/>
      <c r="B2" s="72" t="s">
        <v>15</v>
      </c>
      <c r="C2" s="73"/>
      <c r="D2" s="73"/>
      <c r="E2" s="73"/>
      <c r="F2" s="32"/>
      <c r="G2" s="40"/>
      <c r="H2" s="40"/>
      <c r="I2" s="40"/>
      <c r="J2" s="40"/>
      <c r="K2" s="32"/>
      <c r="L2" s="32"/>
      <c r="M2" s="7"/>
      <c r="N2" s="7"/>
      <c r="O2" s="7"/>
      <c r="P2" s="7"/>
      <c r="Q2" s="7"/>
      <c r="R2" s="7"/>
      <c r="S2" s="7"/>
      <c r="T2" s="7"/>
      <c r="U2" s="7"/>
      <c r="V2" s="7"/>
      <c r="W2" s="7"/>
      <c r="X2" s="7"/>
      <c r="Y2" s="7"/>
      <c r="Z2" s="7"/>
      <c r="AA2" s="7"/>
      <c r="AB2" s="7"/>
      <c r="AC2" s="7"/>
      <c r="AD2" s="7"/>
      <c r="AE2" s="7"/>
      <c r="AF2" s="7"/>
      <c r="AG2" s="7"/>
      <c r="AH2" s="7"/>
      <c r="AI2" s="7"/>
      <c r="AJ2" s="7"/>
      <c r="AK2" s="7"/>
      <c r="AL2" s="7"/>
      <c r="AM2" s="7"/>
      <c r="AN2" s="7"/>
    </row>
    <row r="3" spans="1:42" s="8" customFormat="1" x14ac:dyDescent="0.25">
      <c r="A3" s="7"/>
      <c r="B3" s="74" t="s">
        <v>16</v>
      </c>
      <c r="C3" s="73"/>
      <c r="D3" s="73"/>
      <c r="E3" s="73"/>
      <c r="F3" s="32"/>
      <c r="G3" s="40"/>
      <c r="H3" s="40"/>
      <c r="I3" s="40"/>
      <c r="J3" s="40"/>
      <c r="K3" s="32"/>
      <c r="L3" s="32"/>
      <c r="M3" s="7"/>
      <c r="N3" s="7"/>
      <c r="O3" s="7"/>
      <c r="P3" s="7"/>
      <c r="Q3" s="7"/>
      <c r="R3" s="7"/>
      <c r="S3" s="7"/>
      <c r="T3" s="7"/>
      <c r="U3" s="7"/>
      <c r="V3" s="7"/>
      <c r="W3" s="7"/>
      <c r="X3" s="7"/>
      <c r="Y3" s="7"/>
      <c r="Z3" s="7"/>
      <c r="AA3" s="7"/>
      <c r="AB3" s="7"/>
      <c r="AC3" s="7"/>
      <c r="AD3" s="7"/>
      <c r="AE3" s="7"/>
      <c r="AF3" s="7"/>
      <c r="AG3" s="7"/>
      <c r="AH3" s="7"/>
      <c r="AI3" s="7"/>
      <c r="AJ3" s="7"/>
      <c r="AK3" s="7"/>
      <c r="AL3" s="7"/>
      <c r="AM3" s="7"/>
      <c r="AN3" s="7"/>
    </row>
    <row r="4" spans="1:42" s="8" customFormat="1" x14ac:dyDescent="0.25">
      <c r="A4" s="7"/>
      <c r="B4" s="73" t="s">
        <v>17</v>
      </c>
      <c r="C4" s="73"/>
      <c r="D4" s="73"/>
      <c r="E4" s="73"/>
      <c r="F4" s="32"/>
      <c r="G4" s="40"/>
      <c r="H4" s="40"/>
      <c r="I4" s="40"/>
      <c r="J4" s="40"/>
      <c r="K4" s="32"/>
      <c r="L4" s="32"/>
      <c r="M4" s="7"/>
      <c r="N4" s="7"/>
      <c r="O4" s="7"/>
      <c r="P4" s="7"/>
      <c r="Q4" s="7"/>
      <c r="R4" s="7"/>
      <c r="S4" s="7"/>
      <c r="T4" s="7"/>
      <c r="U4" s="7"/>
      <c r="V4" s="7"/>
      <c r="W4" s="7"/>
      <c r="X4" s="7"/>
      <c r="Y4" s="7"/>
      <c r="Z4" s="7"/>
      <c r="AA4" s="7"/>
      <c r="AB4" s="7"/>
      <c r="AC4" s="7"/>
      <c r="AD4" s="7"/>
      <c r="AE4" s="7"/>
      <c r="AF4" s="7"/>
      <c r="AG4" s="7"/>
      <c r="AH4" s="7"/>
      <c r="AI4" s="7"/>
      <c r="AJ4" s="7"/>
      <c r="AK4" s="7"/>
      <c r="AL4" s="7"/>
      <c r="AM4" s="7"/>
      <c r="AN4" s="7"/>
    </row>
    <row r="5" spans="1:42" s="3" customFormat="1" x14ac:dyDescent="0.25">
      <c r="D5" s="33"/>
      <c r="E5" s="33"/>
      <c r="F5" s="33"/>
      <c r="G5" s="40"/>
      <c r="H5" s="40"/>
      <c r="I5" s="40"/>
      <c r="J5" s="40"/>
      <c r="K5" s="33"/>
      <c r="L5" s="33"/>
    </row>
    <row r="6" spans="1:42" s="1" customFormat="1" ht="13" x14ac:dyDescent="0.3">
      <c r="A6" s="2"/>
      <c r="B6" s="6" t="s">
        <v>0</v>
      </c>
      <c r="C6" s="6"/>
      <c r="D6" s="34"/>
      <c r="E6" s="41"/>
      <c r="F6" s="41"/>
      <c r="G6" s="41"/>
      <c r="H6" s="41"/>
      <c r="I6" s="41"/>
      <c r="J6" s="41"/>
      <c r="K6" s="34"/>
      <c r="L6" s="34"/>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row>
    <row r="7" spans="1:42" ht="14.25" customHeight="1" x14ac:dyDescent="0.25">
      <c r="B7" s="306" t="s">
        <v>313</v>
      </c>
      <c r="C7" s="226"/>
      <c r="D7" s="33"/>
      <c r="E7" s="40"/>
      <c r="F7" s="40"/>
    </row>
    <row r="8" spans="1:42" x14ac:dyDescent="0.25">
      <c r="B8" s="210" t="s">
        <v>1</v>
      </c>
      <c r="C8" s="227">
        <v>60</v>
      </c>
      <c r="D8" s="33"/>
      <c r="E8" s="40"/>
      <c r="F8" s="40"/>
    </row>
    <row r="9" spans="1:42" x14ac:dyDescent="0.25">
      <c r="B9" s="210" t="s">
        <v>266</v>
      </c>
      <c r="C9" s="227">
        <v>60</v>
      </c>
      <c r="D9" s="86"/>
      <c r="E9" s="40"/>
      <c r="F9" s="40"/>
    </row>
    <row r="10" spans="1:42" x14ac:dyDescent="0.25">
      <c r="B10" s="210" t="s">
        <v>2</v>
      </c>
      <c r="C10" s="227">
        <v>3.5000000000000003E-2</v>
      </c>
      <c r="D10" s="33"/>
      <c r="E10" s="40"/>
      <c r="F10" s="40"/>
    </row>
    <row r="11" spans="1:42" x14ac:dyDescent="0.25">
      <c r="B11" s="303" t="s">
        <v>297</v>
      </c>
      <c r="C11" s="311">
        <v>0.2</v>
      </c>
      <c r="D11" s="86"/>
      <c r="E11" s="40"/>
      <c r="F11" s="40"/>
    </row>
    <row r="12" spans="1:42" x14ac:dyDescent="0.25">
      <c r="B12" s="213" t="s">
        <v>141</v>
      </c>
      <c r="C12" s="305">
        <v>1.15E-2</v>
      </c>
      <c r="D12" s="86"/>
      <c r="E12" s="40"/>
      <c r="F12" s="40"/>
    </row>
    <row r="13" spans="1:42" x14ac:dyDescent="0.25">
      <c r="B13" s="61" t="s">
        <v>35</v>
      </c>
      <c r="C13" s="75">
        <v>0</v>
      </c>
      <c r="D13" s="86"/>
      <c r="E13" s="40"/>
      <c r="F13" s="40"/>
    </row>
    <row r="14" spans="1:42" s="3" customFormat="1" ht="13" x14ac:dyDescent="0.3">
      <c r="A14" s="2"/>
      <c r="B14" s="19"/>
      <c r="C14" s="19"/>
      <c r="D14" s="91"/>
      <c r="E14" s="40"/>
      <c r="F14" s="40"/>
      <c r="G14" s="92"/>
      <c r="H14" s="40"/>
      <c r="I14" s="40"/>
      <c r="J14" s="40"/>
      <c r="K14" s="33"/>
      <c r="L14" s="33"/>
    </row>
    <row r="15" spans="1:42" s="1" customFormat="1" ht="13" x14ac:dyDescent="0.3">
      <c r="A15" s="3"/>
      <c r="B15" s="6" t="s">
        <v>278</v>
      </c>
      <c r="C15" s="6"/>
      <c r="D15" s="6"/>
      <c r="E15" s="6"/>
      <c r="F15" s="6"/>
      <c r="G15" s="6"/>
      <c r="H15" s="41"/>
      <c r="I15" s="41"/>
      <c r="J15" s="41"/>
      <c r="K15" s="34"/>
      <c r="L15" s="34"/>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row>
    <row r="16" spans="1:42" ht="28.5" customHeight="1" x14ac:dyDescent="0.25">
      <c r="B16" s="191" t="s">
        <v>271</v>
      </c>
      <c r="C16" s="339" t="s">
        <v>276</v>
      </c>
      <c r="D16" s="339" t="s">
        <v>94</v>
      </c>
      <c r="E16" s="339" t="s">
        <v>113</v>
      </c>
      <c r="F16" s="340" t="s">
        <v>3</v>
      </c>
      <c r="G16" s="340" t="s">
        <v>4</v>
      </c>
      <c r="H16" s="283"/>
      <c r="I16" s="283"/>
      <c r="J16" s="321" t="s">
        <v>108</v>
      </c>
      <c r="K16" s="283"/>
      <c r="L16" s="289"/>
      <c r="M16" s="289"/>
      <c r="N16" s="289"/>
      <c r="O16" s="289"/>
      <c r="P16" s="289"/>
      <c r="Q16" s="289"/>
      <c r="R16" s="289"/>
      <c r="S16" s="289"/>
      <c r="T16" s="289"/>
      <c r="U16" s="289"/>
      <c r="V16" s="289"/>
      <c r="W16" s="289"/>
      <c r="X16" s="289"/>
      <c r="Y16" s="289"/>
    </row>
    <row r="17" spans="2:43" x14ac:dyDescent="0.25">
      <c r="B17" s="213"/>
      <c r="C17" s="249">
        <v>75</v>
      </c>
      <c r="D17" s="227">
        <v>30</v>
      </c>
      <c r="E17" s="227">
        <v>0</v>
      </c>
      <c r="F17" s="267">
        <v>2.7</v>
      </c>
      <c r="G17" s="253">
        <f t="shared" ref="G17:G31" si="0">IF(C17&gt;75,"För hög dBA",H17+I17)</f>
        <v>88532.75587276947</v>
      </c>
      <c r="H17" s="324">
        <f>IF((C17-D17)&gt;25,(F17*(VLOOKUP(C17-D17,Bullervärdering!$E$3:$I$30,3)*(C17-D17)-VLOOKUP(C17-D17,Bullervärdering!$E$3:$I$30,3)*VLOOKUP(C17-D17,Bullervärdering!$E$3:$I$30,1)+VLOOKUP(C17-D17,Bullervärdering!$E$3:$I$30,2)-IF((C17-J17)&gt;25,(VLOOKUP(C17-J17,Bullervärdering!$E$3:$I$30,3)*(C17-J17)-VLOOKUP(C17-J17,Bullervärdering!$E$3:$I$30,3)*VLOOKUP(C17-J17,Bullervärdering!$E$3:$I$30,1)+VLOOKUP(C17-J17,Bullervärdering!$E$3:$I$30,2)),0))),0)</f>
        <v>44763.75296937782</v>
      </c>
      <c r="I17" s="324">
        <f>IF(C17&gt;45,((F17*(VLOOKUP(C17,Bullervärdering!$A$3:$I$30,8)*(C17)-VLOOKUP(C17,Bullervärdering!$A$3:$I$30,8)*VLOOKUP(C17,Bullervärdering!$A$3:$I$30,1)+VLOOKUP(C17,Bullervärdering!$A$3:$I$30,2))-IF(E17&gt;45,(VLOOKUP(E17,Bullervärdering!$A$3:$I$30,8)*(E17)-VLOOKUP(E17,Bullervärdering!$A$3:$I$30,8)*VLOOKUP(E17,Bullervärdering!$A$3:$I$30,1)+VLOOKUP(E17,Bullervärdering!$A$3:$I$30,2)),0))),0)</f>
        <v>43769.002903391651</v>
      </c>
      <c r="J17" s="283">
        <f t="shared" ref="J17:J31" si="1">D17+C17-E17</f>
        <v>105</v>
      </c>
      <c r="K17" s="283"/>
      <c r="L17" s="289"/>
      <c r="M17" s="289"/>
      <c r="N17" s="289"/>
      <c r="O17" s="289"/>
      <c r="P17" s="289"/>
      <c r="Q17" s="289"/>
      <c r="R17" s="289"/>
      <c r="S17" s="289"/>
      <c r="T17" s="289"/>
      <c r="U17" s="289"/>
      <c r="V17" s="289"/>
      <c r="W17" s="289"/>
      <c r="X17" s="289"/>
      <c r="Y17" s="289"/>
      <c r="AP17"/>
    </row>
    <row r="18" spans="2:43" x14ac:dyDescent="0.25">
      <c r="B18" s="213"/>
      <c r="C18" s="250"/>
      <c r="D18" s="227">
        <v>30</v>
      </c>
      <c r="E18" s="227">
        <v>0</v>
      </c>
      <c r="F18" s="268"/>
      <c r="G18" s="253">
        <f t="shared" si="0"/>
        <v>0</v>
      </c>
      <c r="H18" s="324">
        <f>IF((C18-D18)&gt;25,(F18*(VLOOKUP(C18-D18,Bullervärdering!$E$3:$I$30,3)*(C18-D18)-VLOOKUP(C18-D18,Bullervärdering!$E$3:$I$30,3)*VLOOKUP(C18-D18,Bullervärdering!$E$3:$I$30,1)+VLOOKUP(C18-D18,Bullervärdering!$E$3:$I$30,2)-IF((C18-J18)&gt;25,(VLOOKUP(C18-J18,Bullervärdering!$E$3:$I$30,3)*(C18-J18)-VLOOKUP(C18-J18,Bullervärdering!$E$3:$I$30,3)*VLOOKUP(C18-J18,Bullervärdering!$E$3:$I$30,1)+VLOOKUP(C18-J18,Bullervärdering!$E$3:$I$30,2)),0))),0)</f>
        <v>0</v>
      </c>
      <c r="I18" s="324">
        <f>IF(C18&gt;45,((F18*(VLOOKUP(C18,Bullervärdering!$A$3:$I$30,8)*(C18)-VLOOKUP(C18,Bullervärdering!$A$3:$I$30,8)*VLOOKUP(C18,Bullervärdering!$A$3:$I$30,1)+VLOOKUP(C18,Bullervärdering!$A$3:$I$30,2))-IF(E18&gt;45,(VLOOKUP(E18,Bullervärdering!$A$3:$I$30,8)*(E18)-VLOOKUP(E18,Bullervärdering!$A$3:$I$30,8)*VLOOKUP(E18,Bullervärdering!$A$3:$I$30,1)+VLOOKUP(E18,Bullervärdering!$A$3:$I$30,2)),0))),0)</f>
        <v>0</v>
      </c>
      <c r="J18" s="283">
        <f t="shared" si="1"/>
        <v>30</v>
      </c>
      <c r="K18" s="283"/>
      <c r="L18" s="289"/>
      <c r="M18" s="289"/>
      <c r="N18" s="289"/>
      <c r="O18" s="289"/>
      <c r="P18" s="289"/>
      <c r="Q18" s="289"/>
      <c r="R18" s="289"/>
      <c r="S18" s="289"/>
      <c r="T18" s="289"/>
      <c r="U18" s="289"/>
      <c r="V18" s="289"/>
      <c r="W18" s="289"/>
      <c r="X18" s="289"/>
      <c r="Y18" s="289"/>
      <c r="AP18"/>
    </row>
    <row r="19" spans="2:43" x14ac:dyDescent="0.25">
      <c r="B19" s="213"/>
      <c r="C19" s="250"/>
      <c r="D19" s="227">
        <v>30</v>
      </c>
      <c r="E19" s="227">
        <v>0</v>
      </c>
      <c r="F19" s="268"/>
      <c r="G19" s="253">
        <f t="shared" si="0"/>
        <v>0</v>
      </c>
      <c r="H19" s="324">
        <f>IF((C19-D19)&gt;25,(F19*(VLOOKUP(C19-D19,Bullervärdering!$E$3:$I$30,3)*(C19-D19)-VLOOKUP(C19-D19,Bullervärdering!$E$3:$I$30,3)*VLOOKUP(C19-D19,Bullervärdering!$E$3:$I$30,1)+VLOOKUP(C19-D19,Bullervärdering!$E$3:$I$30,2)-IF((C19-J19)&gt;25,(VLOOKUP(C19-J19,Bullervärdering!$E$3:$I$30,3)*(C19-J19)-VLOOKUP(C19-J19,Bullervärdering!$E$3:$I$30,3)*VLOOKUP(C19-J19,Bullervärdering!$E$3:$I$30,1)+VLOOKUP(C19-J19,Bullervärdering!$E$3:$I$30,2)),0))),0)</f>
        <v>0</v>
      </c>
      <c r="I19" s="324">
        <f>IF(C19&gt;45,((F19*(VLOOKUP(C19,Bullervärdering!$A$3:$I$30,8)*(C19)-VLOOKUP(C19,Bullervärdering!$A$3:$I$30,8)*VLOOKUP(C19,Bullervärdering!$A$3:$I$30,1)+VLOOKUP(C19,Bullervärdering!$A$3:$I$30,2))-IF(E19&gt;45,(VLOOKUP(E19,Bullervärdering!$A$3:$I$30,8)*(E19)-VLOOKUP(E19,Bullervärdering!$A$3:$I$30,8)*VLOOKUP(E19,Bullervärdering!$A$3:$I$30,1)+VLOOKUP(E19,Bullervärdering!$A$3:$I$30,2)),0))),0)</f>
        <v>0</v>
      </c>
      <c r="J19" s="283">
        <f t="shared" si="1"/>
        <v>30</v>
      </c>
      <c r="K19" s="283"/>
      <c r="L19" s="289"/>
      <c r="M19" s="289"/>
      <c r="N19" s="289"/>
      <c r="O19" s="289"/>
      <c r="P19" s="289"/>
      <c r="Q19" s="289"/>
      <c r="R19" s="289"/>
      <c r="S19" s="289"/>
      <c r="T19" s="289"/>
      <c r="U19" s="289"/>
      <c r="V19" s="289"/>
      <c r="W19" s="289"/>
      <c r="X19" s="289"/>
      <c r="Y19" s="289"/>
      <c r="AP19"/>
    </row>
    <row r="20" spans="2:43" x14ac:dyDescent="0.25">
      <c r="B20" s="213"/>
      <c r="C20" s="250"/>
      <c r="D20" s="227">
        <v>30</v>
      </c>
      <c r="E20" s="227">
        <v>0</v>
      </c>
      <c r="F20" s="268"/>
      <c r="G20" s="253">
        <f t="shared" si="0"/>
        <v>0</v>
      </c>
      <c r="H20" s="324">
        <f>IF((C20-D20)&gt;25,(F20*(VLOOKUP(C20-D20,Bullervärdering!$E$3:$I$30,3)*(C20-D20)-VLOOKUP(C20-D20,Bullervärdering!$E$3:$I$30,3)*VLOOKUP(C20-D20,Bullervärdering!$E$3:$I$30,1)+VLOOKUP(C20-D20,Bullervärdering!$E$3:$I$30,2)-IF((C20-J20)&gt;25,(VLOOKUP(C20-J20,Bullervärdering!$E$3:$I$30,3)*(C20-J20)-VLOOKUP(C20-J20,Bullervärdering!$E$3:$I$30,3)*VLOOKUP(C20-J20,Bullervärdering!$E$3:$I$30,1)+VLOOKUP(C20-J20,Bullervärdering!$E$3:$I$30,2)),0))),0)</f>
        <v>0</v>
      </c>
      <c r="I20" s="324">
        <f>IF(C20&gt;45,((F20*(VLOOKUP(C20,Bullervärdering!$A$3:$I$30,8)*(C20)-VLOOKUP(C20,Bullervärdering!$A$3:$I$30,8)*VLOOKUP(C20,Bullervärdering!$A$3:$I$30,1)+VLOOKUP(C20,Bullervärdering!$A$3:$I$30,2))-IF(E20&gt;45,(VLOOKUP(E20,Bullervärdering!$A$3:$I$30,8)*(E20)-VLOOKUP(E20,Bullervärdering!$A$3:$I$30,8)*VLOOKUP(E20,Bullervärdering!$A$3:$I$30,1)+VLOOKUP(E20,Bullervärdering!$A$3:$I$30,2)),0))),0)</f>
        <v>0</v>
      </c>
      <c r="J20" s="283">
        <f t="shared" si="1"/>
        <v>30</v>
      </c>
      <c r="K20" s="283"/>
      <c r="L20" s="289"/>
      <c r="M20" s="289"/>
      <c r="N20" s="289"/>
      <c r="O20" s="289"/>
      <c r="P20" s="289"/>
      <c r="Q20" s="289"/>
      <c r="R20" s="289"/>
      <c r="S20" s="289"/>
      <c r="T20" s="289"/>
      <c r="U20" s="289"/>
      <c r="V20" s="289"/>
      <c r="W20" s="289"/>
      <c r="X20" s="289"/>
      <c r="Y20" s="289"/>
      <c r="AP20"/>
    </row>
    <row r="21" spans="2:43" x14ac:dyDescent="0.25">
      <c r="B21" s="213"/>
      <c r="C21" s="250"/>
      <c r="D21" s="227">
        <v>30</v>
      </c>
      <c r="E21" s="227">
        <v>0</v>
      </c>
      <c r="F21" s="268"/>
      <c r="G21" s="253">
        <f t="shared" si="0"/>
        <v>0</v>
      </c>
      <c r="H21" s="324">
        <f>IF((C21-D21)&gt;25,(F21*(VLOOKUP(C21-D21,Bullervärdering!$E$3:$I$30,3)*(C21-D21)-VLOOKUP(C21-D21,Bullervärdering!$E$3:$I$30,3)*VLOOKUP(C21-D21,Bullervärdering!$E$3:$I$30,1)+VLOOKUP(C21-D21,Bullervärdering!$E$3:$I$30,2)-IF((C21-J21)&gt;25,(VLOOKUP(C21-J21,Bullervärdering!$E$3:$I$30,3)*(C21-J21)-VLOOKUP(C21-J21,Bullervärdering!$E$3:$I$30,3)*VLOOKUP(C21-J21,Bullervärdering!$E$3:$I$30,1)+VLOOKUP(C21-J21,Bullervärdering!$E$3:$I$30,2)),0))),0)</f>
        <v>0</v>
      </c>
      <c r="I21" s="324">
        <f>IF(C21&gt;45,((F21*(VLOOKUP(C21,Bullervärdering!$A$3:$I$30,8)*(C21)-VLOOKUP(C21,Bullervärdering!$A$3:$I$30,8)*VLOOKUP(C21,Bullervärdering!$A$3:$I$30,1)+VLOOKUP(C21,Bullervärdering!$A$3:$I$30,2))-IF(E21&gt;45,(VLOOKUP(E21,Bullervärdering!$A$3:$I$30,8)*(E21)-VLOOKUP(E21,Bullervärdering!$A$3:$I$30,8)*VLOOKUP(E21,Bullervärdering!$A$3:$I$30,1)+VLOOKUP(E21,Bullervärdering!$A$3:$I$30,2)),0))),0)</f>
        <v>0</v>
      </c>
      <c r="J21" s="283">
        <f t="shared" si="1"/>
        <v>30</v>
      </c>
      <c r="K21" s="283"/>
      <c r="L21" s="289"/>
      <c r="M21" s="289"/>
      <c r="N21" s="289"/>
      <c r="O21" s="289"/>
      <c r="P21" s="289"/>
      <c r="Q21" s="289"/>
      <c r="R21" s="289"/>
      <c r="S21" s="289"/>
      <c r="T21" s="289"/>
      <c r="U21" s="289"/>
      <c r="V21" s="289"/>
      <c r="W21" s="289"/>
      <c r="X21" s="289"/>
      <c r="Y21" s="289"/>
      <c r="AP21"/>
    </row>
    <row r="22" spans="2:43" x14ac:dyDescent="0.25">
      <c r="B22" s="213"/>
      <c r="C22" s="250"/>
      <c r="D22" s="227">
        <v>30</v>
      </c>
      <c r="E22" s="227">
        <v>0</v>
      </c>
      <c r="F22" s="268"/>
      <c r="G22" s="253">
        <f t="shared" si="0"/>
        <v>0</v>
      </c>
      <c r="H22" s="324">
        <f>IF((C22-D22)&gt;25,(F22*(VLOOKUP(C22-D22,Bullervärdering!$E$3:$I$30,3)*(C22-D22)-VLOOKUP(C22-D22,Bullervärdering!$E$3:$I$30,3)*VLOOKUP(C22-D22,Bullervärdering!$E$3:$I$30,1)+VLOOKUP(C22-D22,Bullervärdering!$E$3:$I$30,2)-IF((C22-J22)&gt;25,(VLOOKUP(C22-J22,Bullervärdering!$E$3:$I$30,3)*(C22-J22)-VLOOKUP(C22-J22,Bullervärdering!$E$3:$I$30,3)*VLOOKUP(C22-J22,Bullervärdering!$E$3:$I$30,1)+VLOOKUP(C22-J22,Bullervärdering!$E$3:$I$30,2)),0))),0)</f>
        <v>0</v>
      </c>
      <c r="I22" s="324">
        <f>IF(C22&gt;45,((F22*(VLOOKUP(C22,Bullervärdering!$A$3:$I$30,8)*(C22)-VLOOKUP(C22,Bullervärdering!$A$3:$I$30,8)*VLOOKUP(C22,Bullervärdering!$A$3:$I$30,1)+VLOOKUP(C22,Bullervärdering!$A$3:$I$30,2))-IF(E22&gt;45,(VLOOKUP(E22,Bullervärdering!$A$3:$I$30,8)*(E22)-VLOOKUP(E22,Bullervärdering!$A$3:$I$30,8)*VLOOKUP(E22,Bullervärdering!$A$3:$I$30,1)+VLOOKUP(E22,Bullervärdering!$A$3:$I$30,2)),0))),0)</f>
        <v>0</v>
      </c>
      <c r="J22" s="283">
        <f t="shared" si="1"/>
        <v>30</v>
      </c>
      <c r="K22" s="283"/>
      <c r="L22" s="289"/>
      <c r="M22" s="289"/>
      <c r="N22" s="289"/>
      <c r="O22" s="289"/>
      <c r="P22" s="289"/>
      <c r="Q22" s="289"/>
      <c r="R22" s="289"/>
      <c r="S22" s="289"/>
      <c r="T22" s="289"/>
      <c r="U22" s="289"/>
      <c r="V22" s="289"/>
      <c r="W22" s="289"/>
      <c r="X22" s="289"/>
      <c r="Y22" s="289"/>
      <c r="AP22"/>
    </row>
    <row r="23" spans="2:43" x14ac:dyDescent="0.25">
      <c r="B23" s="213"/>
      <c r="C23" s="250"/>
      <c r="D23" s="227">
        <v>30</v>
      </c>
      <c r="E23" s="227">
        <v>0</v>
      </c>
      <c r="F23" s="268"/>
      <c r="G23" s="253">
        <f t="shared" si="0"/>
        <v>0</v>
      </c>
      <c r="H23" s="324">
        <f>IF((C23-D23)&gt;25,(F23*(VLOOKUP(C23-D23,Bullervärdering!$E$3:$I$30,3)*(C23-D23)-VLOOKUP(C23-D23,Bullervärdering!$E$3:$I$30,3)*VLOOKUP(C23-D23,Bullervärdering!$E$3:$I$30,1)+VLOOKUP(C23-D23,Bullervärdering!$E$3:$I$30,2)-IF((C23-J23)&gt;25,(VLOOKUP(C23-J23,Bullervärdering!$E$3:$I$30,3)*(C23-J23)-VLOOKUP(C23-J23,Bullervärdering!$E$3:$I$30,3)*VLOOKUP(C23-J23,Bullervärdering!$E$3:$I$30,1)+VLOOKUP(C23-J23,Bullervärdering!$E$3:$I$30,2)),0))),0)</f>
        <v>0</v>
      </c>
      <c r="I23" s="324">
        <f>IF(C23&gt;45,((F23*(VLOOKUP(C23,Bullervärdering!$A$3:$I$30,8)*(C23)-VLOOKUP(C23,Bullervärdering!$A$3:$I$30,8)*VLOOKUP(C23,Bullervärdering!$A$3:$I$30,1)+VLOOKUP(C23,Bullervärdering!$A$3:$I$30,2))-IF(E23&gt;45,(VLOOKUP(E23,Bullervärdering!$A$3:$I$30,8)*(E23)-VLOOKUP(E23,Bullervärdering!$A$3:$I$30,8)*VLOOKUP(E23,Bullervärdering!$A$3:$I$30,1)+VLOOKUP(E23,Bullervärdering!$A$3:$I$30,2)),0))),0)</f>
        <v>0</v>
      </c>
      <c r="J23" s="283">
        <f t="shared" si="1"/>
        <v>30</v>
      </c>
      <c r="K23" s="283"/>
      <c r="L23" s="289"/>
      <c r="M23" s="289"/>
      <c r="N23" s="289"/>
      <c r="O23" s="289"/>
      <c r="P23" s="289"/>
      <c r="Q23" s="289"/>
      <c r="R23" s="289"/>
      <c r="S23" s="289"/>
      <c r="T23" s="289"/>
      <c r="U23" s="289"/>
      <c r="V23" s="289"/>
      <c r="W23" s="289"/>
      <c r="X23" s="289"/>
      <c r="Y23" s="289"/>
      <c r="AP23"/>
    </row>
    <row r="24" spans="2:43" x14ac:dyDescent="0.25">
      <c r="B24" s="213"/>
      <c r="C24" s="250"/>
      <c r="D24" s="227">
        <v>30</v>
      </c>
      <c r="E24" s="227">
        <v>0</v>
      </c>
      <c r="F24" s="268"/>
      <c r="G24" s="253">
        <f t="shared" si="0"/>
        <v>0</v>
      </c>
      <c r="H24" s="324">
        <f>IF((C24-D24)&gt;25,(F24*(VLOOKUP(C24-D24,Bullervärdering!$E$3:$I$30,3)*(C24-D24)-VLOOKUP(C24-D24,Bullervärdering!$E$3:$I$30,3)*VLOOKUP(C24-D24,Bullervärdering!$E$3:$I$30,1)+VLOOKUP(C24-D24,Bullervärdering!$E$3:$I$30,2)-IF((C24-J24)&gt;25,(VLOOKUP(C24-J24,Bullervärdering!$E$3:$I$30,3)*(C24-J24)-VLOOKUP(C24-J24,Bullervärdering!$E$3:$I$30,3)*VLOOKUP(C24-J24,Bullervärdering!$E$3:$I$30,1)+VLOOKUP(C24-J24,Bullervärdering!$E$3:$I$30,2)),0))),0)</f>
        <v>0</v>
      </c>
      <c r="I24" s="324">
        <f>IF(C24&gt;45,((F24*(VLOOKUP(C24,Bullervärdering!$A$3:$I$30,8)*(C24)-VLOOKUP(C24,Bullervärdering!$A$3:$I$30,8)*VLOOKUP(C24,Bullervärdering!$A$3:$I$30,1)+VLOOKUP(C24,Bullervärdering!$A$3:$I$30,2))-IF(E24&gt;45,(VLOOKUP(E24,Bullervärdering!$A$3:$I$30,8)*(E24)-VLOOKUP(E24,Bullervärdering!$A$3:$I$30,8)*VLOOKUP(E24,Bullervärdering!$A$3:$I$30,1)+VLOOKUP(E24,Bullervärdering!$A$3:$I$30,2)),0))),0)</f>
        <v>0</v>
      </c>
      <c r="J24" s="283">
        <f t="shared" si="1"/>
        <v>30</v>
      </c>
      <c r="K24" s="283"/>
      <c r="L24" s="289"/>
      <c r="M24" s="289"/>
      <c r="N24" s="289"/>
      <c r="O24" s="289"/>
      <c r="P24" s="289"/>
      <c r="Q24" s="289"/>
      <c r="R24" s="289"/>
      <c r="S24" s="289"/>
      <c r="T24" s="289"/>
      <c r="U24" s="289"/>
      <c r="V24" s="289"/>
      <c r="W24" s="289"/>
      <c r="X24" s="289"/>
      <c r="Y24" s="289"/>
      <c r="AP24"/>
    </row>
    <row r="25" spans="2:43" x14ac:dyDescent="0.25">
      <c r="B25" s="213"/>
      <c r="C25" s="250"/>
      <c r="D25" s="227">
        <v>30</v>
      </c>
      <c r="E25" s="227">
        <v>0</v>
      </c>
      <c r="F25" s="268"/>
      <c r="G25" s="253">
        <f t="shared" si="0"/>
        <v>0</v>
      </c>
      <c r="H25" s="324">
        <f>IF((C25-D25)&gt;25,(F25*(VLOOKUP(C25-D25,Bullervärdering!$E$3:$I$30,3)*(C25-D25)-VLOOKUP(C25-D25,Bullervärdering!$E$3:$I$30,3)*VLOOKUP(C25-D25,Bullervärdering!$E$3:$I$30,1)+VLOOKUP(C25-D25,Bullervärdering!$E$3:$I$30,2)-IF((C25-J25)&gt;25,(VLOOKUP(C25-J25,Bullervärdering!$E$3:$I$30,3)*(C25-J25)-VLOOKUP(C25-J25,Bullervärdering!$E$3:$I$30,3)*VLOOKUP(C25-J25,Bullervärdering!$E$3:$I$30,1)+VLOOKUP(C25-J25,Bullervärdering!$E$3:$I$30,2)),0))),0)</f>
        <v>0</v>
      </c>
      <c r="I25" s="324">
        <f>IF(C25&gt;45,((F25*(VLOOKUP(C25,Bullervärdering!$A$3:$I$30,8)*(C25)-VLOOKUP(C25,Bullervärdering!$A$3:$I$30,8)*VLOOKUP(C25,Bullervärdering!$A$3:$I$30,1)+VLOOKUP(C25,Bullervärdering!$A$3:$I$30,2))-IF(E25&gt;45,(VLOOKUP(E25,Bullervärdering!$A$3:$I$30,8)*(E25)-VLOOKUP(E25,Bullervärdering!$A$3:$I$30,8)*VLOOKUP(E25,Bullervärdering!$A$3:$I$30,1)+VLOOKUP(E25,Bullervärdering!$A$3:$I$30,2)),0))),0)</f>
        <v>0</v>
      </c>
      <c r="J25" s="283">
        <f t="shared" si="1"/>
        <v>30</v>
      </c>
      <c r="K25" s="283"/>
      <c r="L25" s="289"/>
      <c r="M25" s="289"/>
      <c r="N25" s="289"/>
      <c r="O25" s="289"/>
      <c r="P25" s="289"/>
      <c r="Q25" s="289"/>
      <c r="R25" s="289"/>
      <c r="S25" s="289"/>
      <c r="T25" s="289"/>
      <c r="U25" s="289"/>
      <c r="V25" s="289"/>
      <c r="W25" s="289"/>
      <c r="X25" s="289"/>
      <c r="Y25" s="289"/>
      <c r="AP25"/>
    </row>
    <row r="26" spans="2:43" x14ac:dyDescent="0.25">
      <c r="B26" s="213"/>
      <c r="C26" s="250"/>
      <c r="D26" s="227">
        <v>30</v>
      </c>
      <c r="E26" s="227">
        <v>0</v>
      </c>
      <c r="F26" s="268"/>
      <c r="G26" s="253">
        <f t="shared" si="0"/>
        <v>0</v>
      </c>
      <c r="H26" s="324">
        <f>IF((C26-D26)&gt;25,(F26*(VLOOKUP(C26-D26,Bullervärdering!$E$3:$I$30,3)*(C26-D26)-VLOOKUP(C26-D26,Bullervärdering!$E$3:$I$30,3)*VLOOKUP(C26-D26,Bullervärdering!$E$3:$I$30,1)+VLOOKUP(C26-D26,Bullervärdering!$E$3:$I$30,2)-IF((C26-J26)&gt;25,(VLOOKUP(C26-J26,Bullervärdering!$E$3:$I$30,3)*(C26-J26)-VLOOKUP(C26-J26,Bullervärdering!$E$3:$I$30,3)*VLOOKUP(C26-J26,Bullervärdering!$E$3:$I$30,1)+VLOOKUP(C26-J26,Bullervärdering!$E$3:$I$30,2)),0))),0)</f>
        <v>0</v>
      </c>
      <c r="I26" s="324">
        <f>IF(C26&gt;45,((F26*(VLOOKUP(C26,Bullervärdering!$A$3:$I$30,8)*(C26)-VLOOKUP(C26,Bullervärdering!$A$3:$I$30,8)*VLOOKUP(C26,Bullervärdering!$A$3:$I$30,1)+VLOOKUP(C26,Bullervärdering!$A$3:$I$30,2))-IF(E26&gt;45,(VLOOKUP(E26,Bullervärdering!$A$3:$I$30,8)*(E26)-VLOOKUP(E26,Bullervärdering!$A$3:$I$30,8)*VLOOKUP(E26,Bullervärdering!$A$3:$I$30,1)+VLOOKUP(E26,Bullervärdering!$A$3:$I$30,2)),0))),0)</f>
        <v>0</v>
      </c>
      <c r="J26" s="283">
        <f t="shared" si="1"/>
        <v>30</v>
      </c>
      <c r="K26" s="283"/>
      <c r="L26" s="289"/>
      <c r="M26" s="289"/>
      <c r="N26" s="289"/>
      <c r="O26" s="289"/>
      <c r="P26" s="289"/>
      <c r="Q26" s="289"/>
      <c r="R26" s="289"/>
      <c r="S26" s="289"/>
      <c r="T26" s="289"/>
      <c r="U26" s="289"/>
      <c r="V26" s="289"/>
      <c r="W26" s="289"/>
      <c r="X26" s="289"/>
      <c r="Y26" s="289"/>
      <c r="AP26"/>
    </row>
    <row r="27" spans="2:43" x14ac:dyDescent="0.25">
      <c r="B27" s="213"/>
      <c r="C27" s="250"/>
      <c r="D27" s="227">
        <v>30</v>
      </c>
      <c r="E27" s="227">
        <v>0</v>
      </c>
      <c r="F27" s="268"/>
      <c r="G27" s="253">
        <f t="shared" si="0"/>
        <v>0</v>
      </c>
      <c r="H27" s="324">
        <f>IF((C27-D27)&gt;25,(F27*(VLOOKUP(C27-D27,Bullervärdering!$E$3:$I$30,3)*(C27-D27)-VLOOKUP(C27-D27,Bullervärdering!$E$3:$I$30,3)*VLOOKUP(C27-D27,Bullervärdering!$E$3:$I$30,1)+VLOOKUP(C27-D27,Bullervärdering!$E$3:$I$30,2)-IF((C27-J27)&gt;25,(VLOOKUP(C27-J27,Bullervärdering!$E$3:$I$30,3)*(C27-J27)-VLOOKUP(C27-J27,Bullervärdering!$E$3:$I$30,3)*VLOOKUP(C27-J27,Bullervärdering!$E$3:$I$30,1)+VLOOKUP(C27-J27,Bullervärdering!$E$3:$I$30,2)),0))),0)</f>
        <v>0</v>
      </c>
      <c r="I27" s="324">
        <f>IF(C27&gt;45,((F27*(VLOOKUP(C27,Bullervärdering!$A$3:$I$30,8)*(C27)-VLOOKUP(C27,Bullervärdering!$A$3:$I$30,8)*VLOOKUP(C27,Bullervärdering!$A$3:$I$30,1)+VLOOKUP(C27,Bullervärdering!$A$3:$I$30,2))-IF(E27&gt;45,(VLOOKUP(E27,Bullervärdering!$A$3:$I$30,8)*(E27)-VLOOKUP(E27,Bullervärdering!$A$3:$I$30,8)*VLOOKUP(E27,Bullervärdering!$A$3:$I$30,1)+VLOOKUP(E27,Bullervärdering!$A$3:$I$30,2)),0))),0)</f>
        <v>0</v>
      </c>
      <c r="J27" s="283">
        <f t="shared" si="1"/>
        <v>30</v>
      </c>
      <c r="K27" s="283"/>
      <c r="L27" s="289"/>
      <c r="M27" s="289"/>
      <c r="N27" s="289"/>
      <c r="O27" s="289"/>
      <c r="P27" s="289"/>
      <c r="Q27" s="289"/>
      <c r="R27" s="289"/>
      <c r="S27" s="289"/>
      <c r="T27" s="289"/>
      <c r="U27" s="289"/>
      <c r="V27" s="289"/>
      <c r="W27" s="289"/>
      <c r="X27" s="289"/>
      <c r="Y27" s="289"/>
      <c r="AP27"/>
    </row>
    <row r="28" spans="2:43" x14ac:dyDescent="0.25">
      <c r="B28" s="213"/>
      <c r="C28" s="250"/>
      <c r="D28" s="227">
        <v>30</v>
      </c>
      <c r="E28" s="227">
        <v>0</v>
      </c>
      <c r="F28" s="268"/>
      <c r="G28" s="253">
        <f t="shared" si="0"/>
        <v>0</v>
      </c>
      <c r="H28" s="324">
        <f>IF((C28-D28)&gt;25,(F28*(VLOOKUP(C28-D28,Bullervärdering!$E$3:$I$30,3)*(C28-D28)-VLOOKUP(C28-D28,Bullervärdering!$E$3:$I$30,3)*VLOOKUP(C28-D28,Bullervärdering!$E$3:$I$30,1)+VLOOKUP(C28-D28,Bullervärdering!$E$3:$I$30,2)-IF((C28-J28)&gt;25,(VLOOKUP(C28-J28,Bullervärdering!$E$3:$I$30,3)*(C28-J28)-VLOOKUP(C28-J28,Bullervärdering!$E$3:$I$30,3)*VLOOKUP(C28-J28,Bullervärdering!$E$3:$I$30,1)+VLOOKUP(C28-J28,Bullervärdering!$E$3:$I$30,2)),0))),0)</f>
        <v>0</v>
      </c>
      <c r="I28" s="324">
        <f>IF(C28&gt;45,((F28*(VLOOKUP(C28,Bullervärdering!$A$3:$I$30,8)*(C28)-VLOOKUP(C28,Bullervärdering!$A$3:$I$30,8)*VLOOKUP(C28,Bullervärdering!$A$3:$I$30,1)+VLOOKUP(C28,Bullervärdering!$A$3:$I$30,2))-IF(E28&gt;45,(VLOOKUP(E28,Bullervärdering!$A$3:$I$30,8)*(E28)-VLOOKUP(E28,Bullervärdering!$A$3:$I$30,8)*VLOOKUP(E28,Bullervärdering!$A$3:$I$30,1)+VLOOKUP(E28,Bullervärdering!$A$3:$I$30,2)),0))),0)</f>
        <v>0</v>
      </c>
      <c r="J28" s="283">
        <f t="shared" si="1"/>
        <v>30</v>
      </c>
      <c r="K28" s="283"/>
      <c r="L28" s="289"/>
      <c r="M28" s="289"/>
      <c r="N28" s="289"/>
      <c r="O28" s="289"/>
      <c r="P28" s="289"/>
      <c r="Q28" s="289"/>
      <c r="R28" s="289"/>
      <c r="S28" s="289"/>
      <c r="T28" s="289"/>
      <c r="U28" s="289"/>
      <c r="V28" s="289"/>
      <c r="W28" s="289"/>
      <c r="X28" s="289"/>
      <c r="Y28" s="289"/>
      <c r="AP28"/>
    </row>
    <row r="29" spans="2:43" x14ac:dyDescent="0.25">
      <c r="B29" s="213"/>
      <c r="C29" s="250"/>
      <c r="D29" s="227">
        <v>30</v>
      </c>
      <c r="E29" s="227">
        <v>0</v>
      </c>
      <c r="F29" s="268"/>
      <c r="G29" s="253">
        <f t="shared" si="0"/>
        <v>0</v>
      </c>
      <c r="H29" s="324">
        <f>IF((C29-D29)&gt;25,(F29*(VLOOKUP(C29-D29,Bullervärdering!$E$3:$I$30,3)*(C29-D29)-VLOOKUP(C29-D29,Bullervärdering!$E$3:$I$30,3)*VLOOKUP(C29-D29,Bullervärdering!$E$3:$I$30,1)+VLOOKUP(C29-D29,Bullervärdering!$E$3:$I$30,2)-IF((C29-J29)&gt;25,(VLOOKUP(C29-J29,Bullervärdering!$E$3:$I$30,3)*(C29-J29)-VLOOKUP(C29-J29,Bullervärdering!$E$3:$I$30,3)*VLOOKUP(C29-J29,Bullervärdering!$E$3:$I$30,1)+VLOOKUP(C29-J29,Bullervärdering!$E$3:$I$30,2)),0))),0)</f>
        <v>0</v>
      </c>
      <c r="I29" s="324">
        <f>IF(C29&gt;45,((F29*(VLOOKUP(C29,Bullervärdering!$A$3:$I$30,8)*(C29)-VLOOKUP(C29,Bullervärdering!$A$3:$I$30,8)*VLOOKUP(C29,Bullervärdering!$A$3:$I$30,1)+VLOOKUP(C29,Bullervärdering!$A$3:$I$30,2))-IF(E29&gt;45,(VLOOKUP(E29,Bullervärdering!$A$3:$I$30,8)*(E29)-VLOOKUP(E29,Bullervärdering!$A$3:$I$30,8)*VLOOKUP(E29,Bullervärdering!$A$3:$I$30,1)+VLOOKUP(E29,Bullervärdering!$A$3:$I$30,2)),0))),0)</f>
        <v>0</v>
      </c>
      <c r="J29" s="283">
        <f t="shared" si="1"/>
        <v>30</v>
      </c>
      <c r="K29" s="283"/>
      <c r="L29" s="289"/>
      <c r="M29" s="289"/>
      <c r="N29" s="289"/>
      <c r="O29" s="289"/>
      <c r="P29" s="289"/>
      <c r="Q29" s="289"/>
      <c r="R29" s="289"/>
      <c r="S29" s="289"/>
      <c r="T29" s="289"/>
      <c r="U29" s="289"/>
      <c r="V29" s="289"/>
      <c r="W29" s="289"/>
      <c r="X29" s="289"/>
      <c r="Y29" s="289"/>
      <c r="AP29"/>
    </row>
    <row r="30" spans="2:43" x14ac:dyDescent="0.25">
      <c r="B30" s="213"/>
      <c r="C30" s="250"/>
      <c r="D30" s="227">
        <v>30</v>
      </c>
      <c r="E30" s="227">
        <v>0</v>
      </c>
      <c r="F30" s="268"/>
      <c r="G30" s="253">
        <f t="shared" si="0"/>
        <v>0</v>
      </c>
      <c r="H30" s="324">
        <f>IF((C30-D30)&gt;25,(F30*(VLOOKUP(C30-D30,Bullervärdering!$E$3:$I$30,3)*(C30-D30)-VLOOKUP(C30-D30,Bullervärdering!$E$3:$I$30,3)*VLOOKUP(C30-D30,Bullervärdering!$E$3:$I$30,1)+VLOOKUP(C30-D30,Bullervärdering!$E$3:$I$30,2)-IF((C30-J30)&gt;25,(VLOOKUP(C30-J30,Bullervärdering!$E$3:$I$30,3)*(C30-J30)-VLOOKUP(C30-J30,Bullervärdering!$E$3:$I$30,3)*VLOOKUP(C30-J30,Bullervärdering!$E$3:$I$30,1)+VLOOKUP(C30-J30,Bullervärdering!$E$3:$I$30,2)),0))),0)</f>
        <v>0</v>
      </c>
      <c r="I30" s="324">
        <f>IF(C30&gt;45,((F30*(VLOOKUP(C30,Bullervärdering!$A$3:$I$30,8)*(C30)-VLOOKUP(C30,Bullervärdering!$A$3:$I$30,8)*VLOOKUP(C30,Bullervärdering!$A$3:$I$30,1)+VLOOKUP(C30,Bullervärdering!$A$3:$I$30,2))-IF(E30&gt;45,(VLOOKUP(E30,Bullervärdering!$A$3:$I$30,8)*(E30)-VLOOKUP(E30,Bullervärdering!$A$3:$I$30,8)*VLOOKUP(E30,Bullervärdering!$A$3:$I$30,1)+VLOOKUP(E30,Bullervärdering!$A$3:$I$30,2)),0))),0)</f>
        <v>0</v>
      </c>
      <c r="J30" s="283">
        <f t="shared" si="1"/>
        <v>30</v>
      </c>
      <c r="K30" s="283"/>
      <c r="L30" s="289"/>
      <c r="M30" s="289"/>
      <c r="N30" s="289"/>
      <c r="O30" s="289"/>
      <c r="P30" s="289"/>
      <c r="Q30" s="289"/>
      <c r="R30" s="289"/>
      <c r="S30" s="289"/>
      <c r="T30" s="289"/>
      <c r="U30" s="289"/>
      <c r="V30" s="289"/>
      <c r="W30" s="289"/>
      <c r="X30" s="289"/>
      <c r="Y30" s="289"/>
      <c r="AP30"/>
    </row>
    <row r="31" spans="2:43" x14ac:dyDescent="0.25">
      <c r="B31" s="213"/>
      <c r="C31" s="250"/>
      <c r="D31" s="227">
        <v>30</v>
      </c>
      <c r="E31" s="227">
        <v>0</v>
      </c>
      <c r="F31" s="268"/>
      <c r="G31" s="253">
        <f t="shared" si="0"/>
        <v>0</v>
      </c>
      <c r="H31" s="324">
        <f>IF((C31-D31)&gt;25,(F31*(VLOOKUP(C31-D31,Bullervärdering!$E$3:$I$30,3)*(C31-D31)-VLOOKUP(C31-D31,Bullervärdering!$E$3:$I$30,3)*VLOOKUP(C31-D31,Bullervärdering!$E$3:$I$30,1)+VLOOKUP(C31-D31,Bullervärdering!$E$3:$I$30,2)-IF((C31-J31)&gt;25,(VLOOKUP(C31-J31,Bullervärdering!$E$3:$I$30,3)*(C31-J31)-VLOOKUP(C31-J31,Bullervärdering!$E$3:$I$30,3)*VLOOKUP(C31-J31,Bullervärdering!$E$3:$I$30,1)+VLOOKUP(C31-J31,Bullervärdering!$E$3:$I$30,2)),0))),0)</f>
        <v>0</v>
      </c>
      <c r="I31" s="324">
        <f>IF(C31&gt;45,((F31*(VLOOKUP(C31,Bullervärdering!$A$3:$I$30,8)*(C31)-VLOOKUP(C31,Bullervärdering!$A$3:$I$30,8)*VLOOKUP(C31,Bullervärdering!$A$3:$I$30,1)+VLOOKUP(C31,Bullervärdering!$A$3:$I$30,2))-IF(E31&gt;45,(VLOOKUP(E31,Bullervärdering!$A$3:$I$30,8)*(E31)-VLOOKUP(E31,Bullervärdering!$A$3:$I$30,8)*VLOOKUP(E31,Bullervärdering!$A$3:$I$30,1)+VLOOKUP(E31,Bullervärdering!$A$3:$I$30,2)),0))),0)</f>
        <v>0</v>
      </c>
      <c r="J31" s="283">
        <f t="shared" si="1"/>
        <v>30</v>
      </c>
      <c r="K31" s="283"/>
      <c r="L31" s="289"/>
      <c r="M31" s="289"/>
      <c r="N31" s="289"/>
      <c r="O31" s="289"/>
      <c r="P31" s="289"/>
      <c r="Q31" s="289"/>
      <c r="R31" s="289"/>
      <c r="S31" s="289"/>
      <c r="T31" s="289"/>
      <c r="U31" s="289"/>
      <c r="V31" s="289"/>
      <c r="W31" s="289"/>
      <c r="X31" s="289"/>
      <c r="Y31" s="289"/>
      <c r="AP31"/>
    </row>
    <row r="32" spans="2:43" x14ac:dyDescent="0.25">
      <c r="B32" s="61" t="s">
        <v>36</v>
      </c>
      <c r="C32" s="61"/>
      <c r="D32" s="61"/>
      <c r="E32" s="61"/>
      <c r="F32" s="82"/>
      <c r="G32" s="81">
        <f>SUM(G17:G31)</f>
        <v>88532.75587276947</v>
      </c>
      <c r="H32" s="326">
        <f>SUM(G17:G31)</f>
        <v>88532.75587276947</v>
      </c>
      <c r="I32" s="324">
        <f>SUM(H17:H31)</f>
        <v>44763.75296937782</v>
      </c>
      <c r="J32" s="324">
        <f>SUM(I17:I31)</f>
        <v>43769.002903391651</v>
      </c>
      <c r="K32" s="283"/>
      <c r="L32" s="289"/>
      <c r="M32" s="289"/>
      <c r="N32" s="289"/>
      <c r="O32" s="289"/>
      <c r="P32" s="289"/>
      <c r="Q32" s="289"/>
      <c r="R32" s="289"/>
      <c r="S32" s="289"/>
      <c r="T32" s="289"/>
      <c r="U32" s="289"/>
      <c r="V32" s="289"/>
      <c r="W32" s="289"/>
      <c r="X32" s="289"/>
      <c r="Y32" s="289"/>
      <c r="AQ32" s="3"/>
    </row>
    <row r="33" spans="1:42" s="3" customFormat="1" ht="13" x14ac:dyDescent="0.3">
      <c r="A33" s="2"/>
      <c r="G33" s="40"/>
      <c r="H33" s="283"/>
      <c r="I33" s="283"/>
      <c r="J33" s="283"/>
      <c r="K33" s="289"/>
      <c r="L33" s="289"/>
      <c r="M33" s="289"/>
      <c r="N33" s="289"/>
      <c r="O33" s="289"/>
      <c r="P33" s="289"/>
      <c r="Q33" s="289"/>
      <c r="R33" s="289"/>
      <c r="S33" s="289"/>
      <c r="T33" s="289"/>
      <c r="U33" s="289"/>
      <c r="V33" s="289"/>
      <c r="W33" s="289"/>
      <c r="X33" s="289"/>
      <c r="Y33" s="289"/>
    </row>
    <row r="34" spans="1:42" s="1" customFormat="1" ht="13" x14ac:dyDescent="0.3">
      <c r="A34" s="3"/>
      <c r="B34" s="119" t="s">
        <v>293</v>
      </c>
      <c r="C34" s="119"/>
      <c r="D34" s="119"/>
      <c r="E34" s="119"/>
      <c r="F34" s="41"/>
      <c r="G34" s="41"/>
      <c r="H34" s="288"/>
      <c r="I34" s="287"/>
      <c r="J34" s="287"/>
      <c r="K34" s="287"/>
      <c r="L34" s="287"/>
      <c r="M34" s="287"/>
      <c r="N34" s="287"/>
      <c r="O34" s="287"/>
      <c r="P34" s="287"/>
      <c r="Q34" s="287"/>
      <c r="R34" s="287"/>
      <c r="S34" s="287"/>
      <c r="T34" s="287"/>
      <c r="U34" s="287"/>
      <c r="V34" s="287"/>
      <c r="W34" s="287"/>
      <c r="X34" s="287"/>
      <c r="Y34" s="287"/>
      <c r="Z34" s="2"/>
      <c r="AA34" s="2"/>
      <c r="AB34" s="2"/>
      <c r="AC34" s="2"/>
      <c r="AD34" s="2"/>
      <c r="AE34" s="2"/>
      <c r="AF34" s="2"/>
      <c r="AG34" s="2"/>
      <c r="AH34" s="2"/>
      <c r="AI34" s="2"/>
      <c r="AJ34" s="2"/>
      <c r="AK34" s="2"/>
      <c r="AL34" s="2"/>
    </row>
    <row r="35" spans="1:42" x14ac:dyDescent="0.25">
      <c r="B35" s="213" t="s">
        <v>265</v>
      </c>
      <c r="C35" s="348">
        <v>2000000</v>
      </c>
      <c r="D35" s="269" t="s">
        <v>10</v>
      </c>
      <c r="E35" s="270"/>
      <c r="F35" s="3"/>
      <c r="AO35"/>
      <c r="AP35"/>
    </row>
    <row r="36" spans="1:42" ht="13" x14ac:dyDescent="0.3">
      <c r="B36" s="213" t="s">
        <v>47</v>
      </c>
      <c r="C36" s="349">
        <v>200000</v>
      </c>
      <c r="D36" s="269" t="s">
        <v>10</v>
      </c>
      <c r="E36" s="270"/>
      <c r="F36" s="33"/>
      <c r="M36" s="33"/>
      <c r="N36" s="33"/>
      <c r="O36" s="33"/>
      <c r="P36" s="33"/>
      <c r="Q36" s="33"/>
      <c r="R36" s="33"/>
      <c r="S36" s="33"/>
      <c r="T36" s="33"/>
      <c r="U36" s="33"/>
      <c r="AO36"/>
      <c r="AP36"/>
    </row>
    <row r="37" spans="1:42" ht="13" x14ac:dyDescent="0.3">
      <c r="A37" s="2"/>
      <c r="B37" s="213" t="s">
        <v>48</v>
      </c>
      <c r="C37" s="350">
        <f>C35+C36</f>
        <v>2200000</v>
      </c>
      <c r="D37" s="269" t="s">
        <v>49</v>
      </c>
      <c r="E37" s="270"/>
      <c r="F37" s="33"/>
      <c r="M37" s="33"/>
      <c r="N37" s="33"/>
      <c r="O37" s="33"/>
      <c r="P37" s="33"/>
      <c r="Q37" s="33"/>
      <c r="R37" s="33"/>
      <c r="S37" s="33"/>
      <c r="T37" s="33"/>
      <c r="U37" s="33"/>
      <c r="AO37"/>
      <c r="AP37"/>
    </row>
    <row r="38" spans="1:42" s="3" customFormat="1" x14ac:dyDescent="0.25">
      <c r="E38" s="33"/>
      <c r="F38" s="33"/>
      <c r="G38" s="40"/>
      <c r="H38" s="40"/>
      <c r="I38" s="40"/>
      <c r="J38" s="40"/>
      <c r="K38" s="33"/>
      <c r="L38" s="33"/>
      <c r="M38" s="33"/>
      <c r="N38" s="33"/>
      <c r="O38" s="33"/>
      <c r="P38" s="33"/>
      <c r="Q38" s="33"/>
      <c r="R38" s="33"/>
      <c r="S38" s="33"/>
      <c r="T38" s="33"/>
      <c r="U38" s="33"/>
    </row>
    <row r="39" spans="1:42" s="1" customFormat="1" ht="13" x14ac:dyDescent="0.3">
      <c r="A39" s="3"/>
      <c r="B39" s="6" t="s">
        <v>5</v>
      </c>
      <c r="C39" s="6"/>
      <c r="D39" s="6"/>
      <c r="E39" s="34"/>
      <c r="F39" s="34"/>
      <c r="G39" s="41"/>
      <c r="H39" s="41"/>
      <c r="I39" s="41"/>
      <c r="J39" s="41"/>
      <c r="K39" s="34"/>
      <c r="L39" s="34"/>
      <c r="M39" s="34"/>
      <c r="N39" s="34"/>
      <c r="O39" s="34"/>
      <c r="P39" s="34"/>
      <c r="Q39" s="34"/>
      <c r="R39" s="34"/>
      <c r="S39" s="34"/>
      <c r="T39" s="34"/>
      <c r="U39" s="34"/>
      <c r="V39" s="2"/>
      <c r="W39" s="2"/>
      <c r="X39" s="2"/>
      <c r="Y39" s="2"/>
      <c r="Z39" s="2"/>
      <c r="AA39" s="2"/>
      <c r="AB39" s="2"/>
      <c r="AC39" s="2"/>
      <c r="AD39" s="2"/>
      <c r="AE39" s="2"/>
      <c r="AF39" s="2"/>
      <c r="AG39" s="2"/>
      <c r="AH39" s="2"/>
      <c r="AI39" s="2"/>
      <c r="AJ39" s="2"/>
      <c r="AK39" s="2"/>
      <c r="AL39" s="2"/>
      <c r="AM39" s="2"/>
    </row>
    <row r="40" spans="1:42" x14ac:dyDescent="0.25">
      <c r="B40" s="210"/>
      <c r="C40" s="192"/>
      <c r="D40" s="193"/>
      <c r="E40" s="316"/>
      <c r="F40" s="33"/>
      <c r="M40" s="33"/>
      <c r="N40" s="33"/>
      <c r="O40" s="33"/>
      <c r="P40" s="33"/>
      <c r="Q40" s="33"/>
      <c r="R40" s="33"/>
      <c r="S40" s="33"/>
      <c r="T40" s="33"/>
      <c r="U40" s="33"/>
      <c r="AN40"/>
      <c r="AO40"/>
      <c r="AP40"/>
    </row>
    <row r="41" spans="1:42" ht="13" x14ac:dyDescent="0.3">
      <c r="B41" s="213" t="s">
        <v>264</v>
      </c>
      <c r="C41" s="237">
        <f>C37</f>
        <v>2200000</v>
      </c>
      <c r="D41" s="237"/>
      <c r="E41" s="317"/>
      <c r="F41" s="86"/>
      <c r="M41" s="33"/>
      <c r="N41" s="33"/>
      <c r="O41" s="33"/>
      <c r="P41" s="33"/>
      <c r="Q41" s="33"/>
      <c r="R41" s="33"/>
      <c r="S41" s="33"/>
      <c r="T41" s="33"/>
      <c r="U41" s="33"/>
      <c r="AN41"/>
      <c r="AO41"/>
      <c r="AP41"/>
    </row>
    <row r="42" spans="1:42" ht="13" x14ac:dyDescent="0.3">
      <c r="B42" s="17"/>
      <c r="C42" s="20"/>
      <c r="D42" s="20"/>
      <c r="E42" s="317"/>
      <c r="F42" s="86"/>
      <c r="M42" s="33"/>
      <c r="N42" s="33"/>
      <c r="O42" s="33"/>
      <c r="P42" s="33"/>
      <c r="Q42" s="33"/>
      <c r="R42" s="33"/>
      <c r="S42" s="33"/>
      <c r="T42" s="33"/>
      <c r="U42" s="33"/>
      <c r="AN42"/>
      <c r="AO42"/>
      <c r="AP42"/>
    </row>
    <row r="43" spans="1:42" x14ac:dyDescent="0.25">
      <c r="B43" s="210"/>
      <c r="C43" s="192" t="s">
        <v>139</v>
      </c>
      <c r="D43" s="192" t="s">
        <v>41</v>
      </c>
      <c r="E43" s="316"/>
      <c r="F43" s="33"/>
      <c r="M43" s="33"/>
      <c r="N43" s="33"/>
      <c r="O43" s="33"/>
      <c r="P43" s="33"/>
      <c r="Q43" s="33"/>
      <c r="R43" s="33"/>
      <c r="S43" s="33"/>
      <c r="T43" s="33"/>
      <c r="U43" s="33"/>
      <c r="AN43"/>
      <c r="AO43"/>
      <c r="AP43"/>
    </row>
    <row r="44" spans="1:42" ht="13" x14ac:dyDescent="0.3">
      <c r="B44" s="210" t="s">
        <v>6</v>
      </c>
      <c r="C44" s="239">
        <f>H32</f>
        <v>88532.75587276947</v>
      </c>
      <c r="D44" s="240">
        <f>NuvFörvärv!C64</f>
        <v>2792149.2525398447</v>
      </c>
      <c r="E44" s="33"/>
      <c r="F44" s="33"/>
      <c r="M44" s="33"/>
      <c r="N44" s="33"/>
      <c r="O44" s="33"/>
      <c r="P44" s="33"/>
      <c r="Q44" s="33"/>
      <c r="R44" s="33"/>
      <c r="S44" s="33"/>
      <c r="T44" s="33"/>
      <c r="U44" s="33"/>
      <c r="AN44"/>
      <c r="AO44"/>
      <c r="AP44"/>
    </row>
    <row r="45" spans="1:42" ht="13" x14ac:dyDescent="0.3">
      <c r="B45" s="17"/>
      <c r="C45" s="21"/>
      <c r="D45" s="22"/>
      <c r="E45" s="318"/>
      <c r="F45" s="86"/>
      <c r="M45" s="33"/>
      <c r="N45" s="33"/>
      <c r="O45" s="33"/>
      <c r="P45" s="33"/>
      <c r="Q45" s="33"/>
      <c r="R45" s="33"/>
      <c r="S45" s="33"/>
      <c r="T45" s="33"/>
      <c r="U45" s="33"/>
      <c r="AN45"/>
      <c r="AO45"/>
      <c r="AP45"/>
    </row>
    <row r="46" spans="1:42" ht="13" x14ac:dyDescent="0.3">
      <c r="B46" s="210"/>
      <c r="C46" s="192" t="s">
        <v>41</v>
      </c>
      <c r="D46" s="241"/>
      <c r="E46" s="318"/>
      <c r="F46" s="86"/>
      <c r="M46" s="33"/>
      <c r="N46" s="33"/>
      <c r="O46" s="33"/>
      <c r="P46" s="33"/>
      <c r="Q46" s="33"/>
      <c r="R46" s="33"/>
      <c r="S46" s="33"/>
      <c r="T46" s="33"/>
      <c r="U46" s="33"/>
      <c r="AN46"/>
      <c r="AO46"/>
      <c r="AP46"/>
    </row>
    <row r="47" spans="1:42" ht="13" x14ac:dyDescent="0.3">
      <c r="B47" s="210" t="s">
        <v>4</v>
      </c>
      <c r="C47" s="221">
        <f>D44</f>
        <v>2792149.2525398447</v>
      </c>
      <c r="D47" s="241"/>
      <c r="E47" s="318"/>
      <c r="F47" s="86"/>
      <c r="M47" s="33"/>
      <c r="N47" s="33"/>
      <c r="O47" s="33"/>
      <c r="P47" s="33"/>
      <c r="Q47" s="33"/>
      <c r="R47" s="33"/>
      <c r="S47" s="33"/>
      <c r="T47" s="33"/>
      <c r="U47" s="33"/>
      <c r="AN47"/>
      <c r="AO47"/>
      <c r="AP47"/>
    </row>
    <row r="48" spans="1:42" ht="13" x14ac:dyDescent="0.3">
      <c r="B48" s="219" t="s">
        <v>317</v>
      </c>
      <c r="C48" s="221">
        <f>+C41</f>
        <v>2200000</v>
      </c>
      <c r="D48" s="241"/>
      <c r="E48" s="318"/>
      <c r="F48" s="86"/>
      <c r="M48" s="33"/>
      <c r="N48" s="33"/>
      <c r="O48" s="33"/>
      <c r="P48" s="33"/>
      <c r="Q48" s="33"/>
      <c r="R48" s="33"/>
      <c r="S48" s="33"/>
      <c r="T48" s="33"/>
      <c r="U48" s="33"/>
      <c r="AN48"/>
      <c r="AO48"/>
      <c r="AP48"/>
    </row>
    <row r="49" spans="1:42" ht="13" x14ac:dyDescent="0.3">
      <c r="B49" s="219" t="s">
        <v>315</v>
      </c>
      <c r="C49" s="221">
        <f>+C41*C11</f>
        <v>440000</v>
      </c>
      <c r="D49" s="241"/>
      <c r="E49" s="318"/>
      <c r="F49" s="86"/>
      <c r="M49" s="33"/>
      <c r="N49" s="33"/>
      <c r="O49" s="33"/>
      <c r="P49" s="33"/>
      <c r="Q49" s="33"/>
      <c r="R49" s="33"/>
      <c r="S49" s="33"/>
      <c r="T49" s="33"/>
      <c r="U49" s="33"/>
      <c r="AN49"/>
      <c r="AO49"/>
      <c r="AP49"/>
    </row>
    <row r="50" spans="1:42" s="3" customFormat="1" x14ac:dyDescent="0.25">
      <c r="D50" s="271"/>
      <c r="E50" s="271"/>
      <c r="F50" s="271"/>
      <c r="G50" s="40"/>
      <c r="H50" s="40"/>
      <c r="I50" s="40"/>
      <c r="J50" s="40"/>
      <c r="K50" s="33"/>
      <c r="L50" s="33"/>
      <c r="M50" s="33"/>
      <c r="N50" s="33"/>
      <c r="O50" s="33"/>
      <c r="P50" s="33"/>
      <c r="Q50" s="33"/>
      <c r="R50" s="33"/>
      <c r="S50" s="33"/>
      <c r="T50" s="33"/>
      <c r="U50" s="33"/>
    </row>
    <row r="51" spans="1:42" s="5" customFormat="1" ht="17.5" x14ac:dyDescent="0.35">
      <c r="A51" s="3"/>
      <c r="B51" s="71" t="s">
        <v>267</v>
      </c>
      <c r="C51" s="352">
        <f>C47-C48-C49</f>
        <v>152149.25253984472</v>
      </c>
      <c r="D51" s="272"/>
      <c r="E51" s="272"/>
      <c r="F51" s="272"/>
      <c r="G51" s="39"/>
      <c r="H51" s="39"/>
      <c r="I51" s="39"/>
      <c r="J51" s="39"/>
      <c r="K51" s="31"/>
      <c r="L51" s="31"/>
      <c r="M51" s="31"/>
      <c r="N51" s="31"/>
      <c r="O51" s="31"/>
      <c r="P51" s="31"/>
      <c r="Q51" s="31"/>
      <c r="R51" s="31"/>
      <c r="S51" s="31"/>
      <c r="T51" s="31"/>
      <c r="U51" s="31"/>
      <c r="V51" s="4"/>
      <c r="W51" s="4"/>
      <c r="X51" s="4"/>
      <c r="Y51" s="4"/>
      <c r="Z51" s="4"/>
      <c r="AA51" s="4"/>
      <c r="AB51" s="4"/>
      <c r="AC51" s="4"/>
      <c r="AD51" s="4"/>
      <c r="AE51" s="4"/>
      <c r="AF51" s="4"/>
      <c r="AG51" s="4"/>
      <c r="AH51" s="4"/>
      <c r="AI51" s="4"/>
      <c r="AJ51" s="4"/>
      <c r="AK51" s="4"/>
      <c r="AL51" s="4"/>
      <c r="AM51" s="4"/>
      <c r="AN51" s="4"/>
      <c r="AO51" s="4"/>
      <c r="AP51" s="4"/>
    </row>
    <row r="52" spans="1:42" s="3" customFormat="1" x14ac:dyDescent="0.25">
      <c r="C52" s="45"/>
      <c r="D52" s="33"/>
      <c r="E52" s="33"/>
      <c r="F52" s="33"/>
      <c r="G52" s="40"/>
      <c r="H52" s="40"/>
      <c r="I52" s="40"/>
      <c r="J52" s="40"/>
      <c r="K52" s="33"/>
      <c r="L52" s="33"/>
      <c r="M52" s="33"/>
      <c r="N52" s="33"/>
      <c r="O52" s="33"/>
      <c r="P52" s="33"/>
      <c r="Q52" s="33"/>
      <c r="R52" s="33"/>
      <c r="S52" s="33"/>
      <c r="T52" s="33"/>
      <c r="U52" s="33"/>
    </row>
    <row r="53" spans="1:42" s="3" customFormat="1" ht="17.5" x14ac:dyDescent="0.35">
      <c r="B53" s="71" t="s">
        <v>268</v>
      </c>
      <c r="C53" s="353">
        <f>+C51/C48</f>
        <v>6.9158751154474868E-2</v>
      </c>
      <c r="D53" s="33"/>
      <c r="E53" s="33"/>
      <c r="F53" s="33"/>
      <c r="G53" s="40"/>
      <c r="H53" s="40"/>
      <c r="I53" s="40"/>
      <c r="J53" s="40"/>
      <c r="K53" s="33"/>
      <c r="L53" s="33"/>
      <c r="M53" s="33"/>
      <c r="N53" s="33"/>
      <c r="O53" s="33"/>
      <c r="P53" s="33"/>
      <c r="Q53" s="33"/>
      <c r="R53" s="33"/>
      <c r="S53" s="33"/>
      <c r="T53" s="33"/>
      <c r="U53" s="33"/>
    </row>
    <row r="54" spans="1:42" s="3" customFormat="1" ht="17.5" x14ac:dyDescent="0.35">
      <c r="B54" s="189"/>
      <c r="C54" s="351"/>
      <c r="D54" s="33"/>
      <c r="E54" s="33"/>
      <c r="F54" s="33"/>
      <c r="G54" s="40"/>
      <c r="H54" s="40"/>
      <c r="I54" s="40"/>
      <c r="J54" s="40"/>
      <c r="K54" s="33"/>
      <c r="L54" s="33"/>
      <c r="M54" s="33"/>
      <c r="N54" s="33"/>
      <c r="O54" s="33"/>
      <c r="P54" s="33"/>
      <c r="Q54" s="33"/>
      <c r="R54" s="33"/>
      <c r="S54" s="33"/>
      <c r="T54" s="33"/>
      <c r="U54" s="33"/>
    </row>
    <row r="55" spans="1:42" s="3" customFormat="1" ht="17.5" x14ac:dyDescent="0.35">
      <c r="B55" s="71" t="s">
        <v>277</v>
      </c>
      <c r="C55" s="353">
        <f>+(C47-C49)/C48</f>
        <v>1.0691587511544749</v>
      </c>
      <c r="G55" s="40"/>
      <c r="H55" s="40"/>
      <c r="I55" s="40"/>
      <c r="J55" s="40"/>
      <c r="K55" s="33"/>
      <c r="L55" s="33"/>
    </row>
    <row r="56" spans="1:42" s="3" customFormat="1" x14ac:dyDescent="0.25">
      <c r="G56" s="40"/>
      <c r="H56" s="40"/>
      <c r="I56" s="40"/>
      <c r="J56" s="40"/>
      <c r="K56" s="33"/>
      <c r="L56" s="33"/>
    </row>
    <row r="57" spans="1:42" s="3" customFormat="1" x14ac:dyDescent="0.25">
      <c r="G57" s="40"/>
      <c r="H57" s="40"/>
      <c r="I57" s="40"/>
      <c r="J57" s="40"/>
      <c r="K57" s="33"/>
      <c r="L57" s="33"/>
    </row>
    <row r="58" spans="1:42" s="3" customFormat="1" x14ac:dyDescent="0.25">
      <c r="G58" s="40"/>
      <c r="H58" s="40"/>
      <c r="I58" s="40"/>
      <c r="J58" s="40"/>
      <c r="K58" s="33"/>
      <c r="L58" s="33"/>
    </row>
    <row r="59" spans="1:42" s="3" customFormat="1" x14ac:dyDescent="0.25">
      <c r="G59" s="40"/>
      <c r="H59" s="40"/>
      <c r="I59" s="40"/>
      <c r="J59" s="40"/>
      <c r="K59" s="33"/>
      <c r="L59" s="33"/>
    </row>
    <row r="60" spans="1:42" s="3" customFormat="1" x14ac:dyDescent="0.25">
      <c r="G60" s="40"/>
      <c r="H60" s="40"/>
      <c r="I60" s="40"/>
      <c r="J60" s="40"/>
      <c r="K60" s="33"/>
      <c r="L60" s="33"/>
    </row>
    <row r="61" spans="1:42" s="3" customFormat="1" x14ac:dyDescent="0.25">
      <c r="G61" s="40"/>
      <c r="H61" s="40"/>
      <c r="I61" s="40"/>
      <c r="J61" s="40"/>
      <c r="K61" s="33"/>
      <c r="L61" s="33"/>
    </row>
    <row r="62" spans="1:42" s="3" customFormat="1" x14ac:dyDescent="0.25">
      <c r="G62" s="40"/>
      <c r="H62" s="40"/>
      <c r="I62" s="40"/>
      <c r="J62" s="40"/>
      <c r="K62" s="33"/>
      <c r="L62" s="33"/>
    </row>
    <row r="63" spans="1:42" s="3" customFormat="1" x14ac:dyDescent="0.25">
      <c r="G63" s="40"/>
      <c r="H63" s="40"/>
      <c r="I63" s="40"/>
      <c r="J63" s="40"/>
      <c r="K63" s="33"/>
      <c r="L63" s="33"/>
    </row>
    <row r="64" spans="1:42" s="3" customFormat="1" x14ac:dyDescent="0.25">
      <c r="G64" s="40"/>
      <c r="H64" s="40"/>
      <c r="I64" s="40"/>
      <c r="J64" s="40"/>
      <c r="K64" s="33"/>
      <c r="L64" s="33"/>
    </row>
    <row r="65" spans="7:12" s="3" customFormat="1" x14ac:dyDescent="0.25">
      <c r="G65" s="40"/>
      <c r="H65" s="40"/>
      <c r="I65" s="40"/>
      <c r="J65" s="40"/>
      <c r="K65" s="33"/>
      <c r="L65" s="33"/>
    </row>
    <row r="66" spans="7:12" s="3" customFormat="1" x14ac:dyDescent="0.25">
      <c r="G66" s="40"/>
      <c r="H66" s="40"/>
      <c r="I66" s="40"/>
      <c r="J66" s="40"/>
      <c r="K66" s="33"/>
      <c r="L66" s="33"/>
    </row>
    <row r="67" spans="7:12" s="3" customFormat="1" x14ac:dyDescent="0.25">
      <c r="G67" s="40"/>
      <c r="H67" s="40"/>
      <c r="I67" s="40"/>
      <c r="J67" s="40"/>
      <c r="K67" s="33"/>
      <c r="L67" s="33"/>
    </row>
    <row r="68" spans="7:12" s="3" customFormat="1" x14ac:dyDescent="0.25">
      <c r="G68" s="40"/>
      <c r="H68" s="40"/>
      <c r="I68" s="40"/>
      <c r="J68" s="40"/>
      <c r="K68" s="33"/>
      <c r="L68" s="33"/>
    </row>
    <row r="69" spans="7:12" s="3" customFormat="1" x14ac:dyDescent="0.25">
      <c r="G69" s="40"/>
      <c r="H69" s="40"/>
      <c r="I69" s="40"/>
      <c r="J69" s="40"/>
      <c r="K69" s="33"/>
      <c r="L69" s="33"/>
    </row>
    <row r="70" spans="7:12" s="3" customFormat="1" x14ac:dyDescent="0.25">
      <c r="G70" s="40"/>
      <c r="H70" s="40"/>
      <c r="I70" s="40"/>
      <c r="J70" s="40"/>
      <c r="K70" s="33"/>
      <c r="L70" s="33"/>
    </row>
    <row r="71" spans="7:12" s="3" customFormat="1" x14ac:dyDescent="0.25">
      <c r="G71" s="40"/>
      <c r="H71" s="40"/>
      <c r="I71" s="40"/>
      <c r="J71" s="40"/>
      <c r="K71" s="33"/>
      <c r="L71" s="33"/>
    </row>
    <row r="72" spans="7:12" s="3" customFormat="1" x14ac:dyDescent="0.25">
      <c r="G72" s="40"/>
      <c r="H72" s="40"/>
      <c r="I72" s="40"/>
      <c r="J72" s="40"/>
      <c r="K72" s="33"/>
      <c r="L72" s="33"/>
    </row>
    <row r="73" spans="7:12" s="3" customFormat="1" x14ac:dyDescent="0.25">
      <c r="G73" s="40"/>
      <c r="H73" s="40"/>
      <c r="I73" s="40"/>
      <c r="J73" s="40"/>
      <c r="K73" s="33"/>
      <c r="L73" s="33"/>
    </row>
    <row r="74" spans="7:12" s="3" customFormat="1" x14ac:dyDescent="0.25">
      <c r="G74" s="40"/>
      <c r="H74" s="40"/>
      <c r="I74" s="40"/>
      <c r="J74" s="40"/>
      <c r="K74" s="33"/>
      <c r="L74" s="33"/>
    </row>
    <row r="75" spans="7:12" s="3" customFormat="1" x14ac:dyDescent="0.25">
      <c r="G75" s="40"/>
      <c r="H75" s="40"/>
      <c r="I75" s="40"/>
      <c r="J75" s="40"/>
      <c r="K75" s="33"/>
      <c r="L75" s="33"/>
    </row>
    <row r="76" spans="7:12" s="3" customFormat="1" x14ac:dyDescent="0.25">
      <c r="G76" s="40"/>
      <c r="H76" s="40"/>
      <c r="I76" s="40"/>
      <c r="J76" s="40"/>
      <c r="K76" s="33"/>
      <c r="L76" s="33"/>
    </row>
    <row r="77" spans="7:12" s="3" customFormat="1" x14ac:dyDescent="0.25">
      <c r="G77" s="40"/>
      <c r="H77" s="40"/>
      <c r="I77" s="40"/>
      <c r="J77" s="40"/>
      <c r="K77" s="33"/>
      <c r="L77" s="33"/>
    </row>
    <row r="78" spans="7:12" s="3" customFormat="1" x14ac:dyDescent="0.25">
      <c r="G78" s="40"/>
      <c r="H78" s="40"/>
      <c r="I78" s="40"/>
      <c r="J78" s="40"/>
      <c r="K78" s="33"/>
      <c r="L78" s="33"/>
    </row>
    <row r="79" spans="7:12" s="3" customFormat="1" x14ac:dyDescent="0.25">
      <c r="G79" s="40"/>
      <c r="H79" s="40"/>
      <c r="I79" s="40"/>
      <c r="J79" s="40"/>
      <c r="K79" s="33"/>
      <c r="L79" s="33"/>
    </row>
    <row r="80" spans="7:12" s="3" customFormat="1" x14ac:dyDescent="0.25">
      <c r="G80" s="40"/>
      <c r="H80" s="40"/>
      <c r="I80" s="40"/>
      <c r="J80" s="40"/>
      <c r="K80" s="33"/>
      <c r="L80" s="33"/>
    </row>
    <row r="81" spans="7:12" s="3" customFormat="1" x14ac:dyDescent="0.25">
      <c r="G81" s="40"/>
      <c r="H81" s="40"/>
      <c r="I81" s="40"/>
      <c r="J81" s="40"/>
      <c r="K81" s="33"/>
      <c r="L81" s="33"/>
    </row>
    <row r="82" spans="7:12" s="3" customFormat="1" x14ac:dyDescent="0.25">
      <c r="G82" s="40"/>
      <c r="H82" s="40"/>
      <c r="I82" s="40"/>
      <c r="J82" s="40"/>
      <c r="K82" s="33"/>
      <c r="L82" s="33"/>
    </row>
  </sheetData>
  <conditionalFormatting sqref="C53:C54">
    <cfRule type="cellIs" dxfId="2" priority="5" operator="lessThan">
      <formula>0</formula>
    </cfRule>
  </conditionalFormatting>
  <conditionalFormatting sqref="C17:C31">
    <cfRule type="iconSet" priority="3">
      <iconSet iconSet="3Symbols" reverse="1">
        <cfvo type="percent" val="0"/>
        <cfvo type="num" val="75.001000000000005"/>
        <cfvo type="num" val="75.001999999999995"/>
      </iconSet>
    </cfRule>
  </conditionalFormatting>
  <conditionalFormatting sqref="C51">
    <cfRule type="cellIs" dxfId="1" priority="2" operator="lessThan">
      <formula>0</formula>
    </cfRule>
  </conditionalFormatting>
  <conditionalFormatting sqref="C55">
    <cfRule type="cellIs" dxfId="0" priority="1" operator="lessThan">
      <formula>0</formula>
    </cfRule>
  </conditionalFormatting>
  <dataValidations count="1">
    <dataValidation type="decimal" allowBlank="1" showInputMessage="1" showErrorMessage="1" sqref="C17:C31" xr:uid="{00000000-0002-0000-0500-000000000000}">
      <formula1>0</formula1>
      <formula2>75</formula2>
    </dataValidation>
  </dataValidations>
  <pageMargins left="0.75" right="0.75" top="1" bottom="1" header="0.5" footer="0.5"/>
  <pageSetup paperSize="9" orientation="landscape"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186"/>
  <sheetViews>
    <sheetView workbookViewId="0">
      <selection activeCell="C9" sqref="C9"/>
    </sheetView>
  </sheetViews>
  <sheetFormatPr defaultRowHeight="12.5" x14ac:dyDescent="0.25"/>
  <cols>
    <col min="1" max="1" width="35.1796875" customWidth="1"/>
    <col min="2" max="2" width="35.54296875" customWidth="1"/>
    <col min="3" max="3" width="46.1796875" customWidth="1"/>
    <col min="4" max="27" width="9.1796875" style="33"/>
  </cols>
  <sheetData>
    <row r="1" spans="1:3" ht="14.5" x14ac:dyDescent="0.45">
      <c r="A1" s="357" t="s">
        <v>292</v>
      </c>
      <c r="B1" s="358"/>
      <c r="C1" s="358"/>
    </row>
    <row r="3" spans="1:3" ht="13" x14ac:dyDescent="0.3">
      <c r="B3" s="330" t="s">
        <v>269</v>
      </c>
      <c r="C3" s="330" t="s">
        <v>270</v>
      </c>
    </row>
    <row r="4" spans="1:3" x14ac:dyDescent="0.25">
      <c r="A4" s="15" t="s">
        <v>172</v>
      </c>
      <c r="B4" s="335">
        <f>'A Fasadåtgärd'!C54</f>
        <v>260215.26597579542</v>
      </c>
      <c r="C4" s="335">
        <f>'A Fasadåtgärd'!C54</f>
        <v>260215.26597579542</v>
      </c>
    </row>
    <row r="5" spans="1:3" x14ac:dyDescent="0.25">
      <c r="A5" s="15" t="s">
        <v>173</v>
      </c>
      <c r="B5" s="335">
        <f>'C Lång skärm'!C54</f>
        <v>5716316.9516346892</v>
      </c>
      <c r="C5" s="335">
        <f>'D Vall'!C52</f>
        <v>6969645.9432987915</v>
      </c>
    </row>
    <row r="6" spans="1:3" ht="25" x14ac:dyDescent="0.25">
      <c r="A6" s="281" t="s">
        <v>295</v>
      </c>
      <c r="B6" s="335">
        <f>'A Fasadåtgärd'!C55+'C Lång skärm'!C55</f>
        <v>3283870.2120378055</v>
      </c>
      <c r="C6" s="335">
        <f>'A Fasadåtgärd'!C55+'D Vall'!C53</f>
        <v>2083022.8367186943</v>
      </c>
    </row>
    <row r="7" spans="1:3" ht="25" x14ac:dyDescent="0.25">
      <c r="A7" s="281" t="s">
        <v>296</v>
      </c>
      <c r="B7" s="335">
        <f>'A Fasadåtgärd'!C56+'C Lång skärm'!C56</f>
        <v>656774.04240756109</v>
      </c>
      <c r="C7" s="335">
        <f>'A Fasadåtgärd'!C56+'D Vall'!C54</f>
        <v>416604.56734373886</v>
      </c>
    </row>
    <row r="8" spans="1:3" s="33" customFormat="1" x14ac:dyDescent="0.25">
      <c r="A8" s="55"/>
      <c r="B8" s="331"/>
      <c r="C8" s="331"/>
    </row>
    <row r="9" spans="1:3" s="33" customFormat="1" ht="15.5" x14ac:dyDescent="0.35">
      <c r="A9" s="120" t="s">
        <v>267</v>
      </c>
      <c r="B9" s="334">
        <f>B4+B5-B6</f>
        <v>2692662.0055726795</v>
      </c>
      <c r="C9" s="334">
        <f>C4+C5-C6</f>
        <v>5146838.3725558929</v>
      </c>
    </row>
    <row r="10" spans="1:3" s="33" customFormat="1" x14ac:dyDescent="0.25">
      <c r="A10" s="55"/>
      <c r="B10" s="331"/>
      <c r="C10" s="331"/>
    </row>
    <row r="11" spans="1:3" ht="15.5" x14ac:dyDescent="0.35">
      <c r="A11" s="120" t="s">
        <v>268</v>
      </c>
      <c r="B11" s="332">
        <f>B9/B7</f>
        <v>4.0998301268151343</v>
      </c>
      <c r="C11" s="332">
        <f>C9/C7</f>
        <v>12.354253351978391</v>
      </c>
    </row>
    <row r="12" spans="1:3" s="33" customFormat="1" ht="15.5" x14ac:dyDescent="0.35">
      <c r="A12" s="312"/>
      <c r="B12" s="333"/>
      <c r="C12" s="333"/>
    </row>
    <row r="13" spans="1:3" s="33" customFormat="1" ht="15.5" x14ac:dyDescent="0.35">
      <c r="A13" s="120" t="s">
        <v>277</v>
      </c>
      <c r="B13" s="332">
        <f>B11+1</f>
        <v>5.0998301268151343</v>
      </c>
      <c r="C13" s="332">
        <f>C11+1</f>
        <v>13.354253351978391</v>
      </c>
    </row>
    <row r="14" spans="1:3" s="33" customFormat="1" x14ac:dyDescent="0.25"/>
    <row r="15" spans="1:3" s="33" customFormat="1" x14ac:dyDescent="0.25"/>
    <row r="16" spans="1:3" s="33" customFormat="1" x14ac:dyDescent="0.25"/>
    <row r="17" s="33" customFormat="1" x14ac:dyDescent="0.25"/>
    <row r="18" s="33" customFormat="1" x14ac:dyDescent="0.25"/>
    <row r="19" s="33" customFormat="1" x14ac:dyDescent="0.25"/>
    <row r="20" s="33" customFormat="1" x14ac:dyDescent="0.25"/>
    <row r="21" s="33" customFormat="1" x14ac:dyDescent="0.25"/>
    <row r="22" s="33" customFormat="1" x14ac:dyDescent="0.25"/>
    <row r="23" s="33" customFormat="1" x14ac:dyDescent="0.25"/>
    <row r="24" s="33" customFormat="1" x14ac:dyDescent="0.25"/>
    <row r="25" s="33" customFormat="1" x14ac:dyDescent="0.25"/>
    <row r="26" s="33" customFormat="1" x14ac:dyDescent="0.25"/>
    <row r="27" s="33" customFormat="1" x14ac:dyDescent="0.25"/>
    <row r="28" s="33" customFormat="1" x14ac:dyDescent="0.25"/>
    <row r="29" s="33" customFormat="1" x14ac:dyDescent="0.25"/>
    <row r="30" s="33" customFormat="1" x14ac:dyDescent="0.25"/>
    <row r="31" s="33" customFormat="1" x14ac:dyDescent="0.25"/>
    <row r="32" s="33" customFormat="1" x14ac:dyDescent="0.25"/>
    <row r="33" s="33" customFormat="1" x14ac:dyDescent="0.25"/>
    <row r="34" s="33" customFormat="1" x14ac:dyDescent="0.25"/>
    <row r="35" s="33" customFormat="1" x14ac:dyDescent="0.25"/>
    <row r="36" s="33" customFormat="1" x14ac:dyDescent="0.25"/>
    <row r="37" s="33" customFormat="1" x14ac:dyDescent="0.25"/>
    <row r="38" s="33" customFormat="1" x14ac:dyDescent="0.25"/>
    <row r="39" s="33" customFormat="1" x14ac:dyDescent="0.25"/>
    <row r="40" s="33" customFormat="1" x14ac:dyDescent="0.25"/>
    <row r="41" s="33" customFormat="1" x14ac:dyDescent="0.25"/>
    <row r="42" s="33" customFormat="1" x14ac:dyDescent="0.25"/>
    <row r="43" s="33" customFormat="1" x14ac:dyDescent="0.25"/>
    <row r="44" s="33" customFormat="1" x14ac:dyDescent="0.25"/>
    <row r="45" s="33" customFormat="1" x14ac:dyDescent="0.25"/>
    <row r="46" s="33" customFormat="1" x14ac:dyDescent="0.25"/>
    <row r="47" s="33" customFormat="1" x14ac:dyDescent="0.25"/>
    <row r="48" s="33" customFormat="1" x14ac:dyDescent="0.25"/>
    <row r="49" s="33" customFormat="1" x14ac:dyDescent="0.25"/>
    <row r="50" s="33" customFormat="1" x14ac:dyDescent="0.25"/>
    <row r="51" s="33" customFormat="1" x14ac:dyDescent="0.25"/>
    <row r="52" s="33" customFormat="1" x14ac:dyDescent="0.25"/>
    <row r="53" s="33" customFormat="1" x14ac:dyDescent="0.25"/>
    <row r="54" s="33" customFormat="1" x14ac:dyDescent="0.25"/>
    <row r="55" s="33" customFormat="1" x14ac:dyDescent="0.25"/>
    <row r="56" s="33" customFormat="1" x14ac:dyDescent="0.25"/>
    <row r="57" s="33" customFormat="1" x14ac:dyDescent="0.25"/>
    <row r="58" s="33" customFormat="1" x14ac:dyDescent="0.25"/>
    <row r="59" s="33" customFormat="1" x14ac:dyDescent="0.25"/>
    <row r="60" s="33" customFormat="1" x14ac:dyDescent="0.25"/>
    <row r="61" s="33" customFormat="1" x14ac:dyDescent="0.25"/>
    <row r="62" s="33" customFormat="1" x14ac:dyDescent="0.25"/>
    <row r="63" s="33" customFormat="1" x14ac:dyDescent="0.25"/>
    <row r="64" s="33" customFormat="1" x14ac:dyDescent="0.25"/>
    <row r="65" s="33" customFormat="1" x14ac:dyDescent="0.25"/>
    <row r="66" s="33" customFormat="1" x14ac:dyDescent="0.25"/>
    <row r="67" s="33" customFormat="1" x14ac:dyDescent="0.25"/>
    <row r="68" s="33" customFormat="1" x14ac:dyDescent="0.25"/>
    <row r="69" s="33" customFormat="1" x14ac:dyDescent="0.25"/>
    <row r="70" s="33" customFormat="1" x14ac:dyDescent="0.25"/>
    <row r="71" s="33" customFormat="1" x14ac:dyDescent="0.25"/>
    <row r="72" s="33" customFormat="1" x14ac:dyDescent="0.25"/>
    <row r="73" s="33" customFormat="1" x14ac:dyDescent="0.25"/>
    <row r="74" s="33" customFormat="1" x14ac:dyDescent="0.25"/>
    <row r="75" s="33" customFormat="1" x14ac:dyDescent="0.25"/>
    <row r="76" s="33" customFormat="1" x14ac:dyDescent="0.25"/>
    <row r="77" s="33" customFormat="1" x14ac:dyDescent="0.25"/>
    <row r="78" s="33" customFormat="1" x14ac:dyDescent="0.25"/>
    <row r="79" s="33" customFormat="1" x14ac:dyDescent="0.25"/>
    <row r="80" s="33" customFormat="1" x14ac:dyDescent="0.25"/>
    <row r="81" s="33" customFormat="1" x14ac:dyDescent="0.25"/>
    <row r="82" s="33" customFormat="1" x14ac:dyDescent="0.25"/>
    <row r="83" s="33" customFormat="1" x14ac:dyDescent="0.25"/>
    <row r="84" s="33" customFormat="1" x14ac:dyDescent="0.25"/>
    <row r="85" s="33" customFormat="1" x14ac:dyDescent="0.25"/>
    <row r="86" s="33" customFormat="1" x14ac:dyDescent="0.25"/>
    <row r="87" s="33" customFormat="1" x14ac:dyDescent="0.25"/>
    <row r="88" s="33" customFormat="1" x14ac:dyDescent="0.25"/>
    <row r="89" s="33" customFormat="1" x14ac:dyDescent="0.25"/>
    <row r="90" s="33" customFormat="1" x14ac:dyDescent="0.25"/>
    <row r="91" s="33" customFormat="1" x14ac:dyDescent="0.25"/>
    <row r="92" s="33" customFormat="1" x14ac:dyDescent="0.25"/>
    <row r="93" s="33" customFormat="1" x14ac:dyDescent="0.25"/>
    <row r="94" s="33" customFormat="1" x14ac:dyDescent="0.25"/>
    <row r="95" s="33" customFormat="1" x14ac:dyDescent="0.25"/>
    <row r="96" s="33" customFormat="1" x14ac:dyDescent="0.25"/>
    <row r="97" s="33" customFormat="1" x14ac:dyDescent="0.25"/>
    <row r="98" s="33" customFormat="1" x14ac:dyDescent="0.25"/>
    <row r="99" s="33" customFormat="1" x14ac:dyDescent="0.25"/>
    <row r="100" s="33" customFormat="1" x14ac:dyDescent="0.25"/>
    <row r="101" s="33" customFormat="1" x14ac:dyDescent="0.25"/>
    <row r="102" s="33" customFormat="1" x14ac:dyDescent="0.25"/>
    <row r="103" s="33" customFormat="1" x14ac:dyDescent="0.25"/>
    <row r="104" s="33" customFormat="1" x14ac:dyDescent="0.25"/>
    <row r="105" s="33" customFormat="1" x14ac:dyDescent="0.25"/>
    <row r="106" s="33" customFormat="1" x14ac:dyDescent="0.25"/>
    <row r="107" s="33" customFormat="1" x14ac:dyDescent="0.25"/>
    <row r="108" s="33" customFormat="1" x14ac:dyDescent="0.25"/>
    <row r="109" s="33" customFormat="1" x14ac:dyDescent="0.25"/>
    <row r="110" s="33" customFormat="1" x14ac:dyDescent="0.25"/>
    <row r="111" s="33" customFormat="1" x14ac:dyDescent="0.25"/>
    <row r="112" s="33" customFormat="1" x14ac:dyDescent="0.25"/>
    <row r="113" s="33" customFormat="1" x14ac:dyDescent="0.25"/>
    <row r="114" s="33" customFormat="1" x14ac:dyDescent="0.25"/>
    <row r="115" s="33" customFormat="1" x14ac:dyDescent="0.25"/>
    <row r="116" s="33" customFormat="1" x14ac:dyDescent="0.25"/>
    <row r="117" s="33" customFormat="1" x14ac:dyDescent="0.25"/>
    <row r="118" s="33" customFormat="1" x14ac:dyDescent="0.25"/>
    <row r="119" s="33" customFormat="1" x14ac:dyDescent="0.25"/>
    <row r="120" s="33" customFormat="1" x14ac:dyDescent="0.25"/>
    <row r="121" s="33" customFormat="1" x14ac:dyDescent="0.25"/>
    <row r="122" s="33" customFormat="1" x14ac:dyDescent="0.25"/>
    <row r="123" s="33" customFormat="1" x14ac:dyDescent="0.25"/>
    <row r="124" s="33" customFormat="1" x14ac:dyDescent="0.25"/>
    <row r="125" s="33" customFormat="1" x14ac:dyDescent="0.25"/>
    <row r="126" s="33" customFormat="1" x14ac:dyDescent="0.25"/>
    <row r="127" s="33" customFormat="1" x14ac:dyDescent="0.25"/>
    <row r="128" s="33" customFormat="1" x14ac:dyDescent="0.25"/>
    <row r="129" s="33" customFormat="1" x14ac:dyDescent="0.25"/>
    <row r="130" s="33" customFormat="1" x14ac:dyDescent="0.25"/>
    <row r="131" s="33" customFormat="1" x14ac:dyDescent="0.25"/>
    <row r="132" s="33" customFormat="1" x14ac:dyDescent="0.25"/>
    <row r="133" s="33" customFormat="1" x14ac:dyDescent="0.25"/>
    <row r="134" s="33" customFormat="1" x14ac:dyDescent="0.25"/>
    <row r="135" s="33" customFormat="1" x14ac:dyDescent="0.25"/>
    <row r="136" s="33" customFormat="1" x14ac:dyDescent="0.25"/>
    <row r="137" s="33" customFormat="1" x14ac:dyDescent="0.25"/>
    <row r="138" s="33" customFormat="1" x14ac:dyDescent="0.25"/>
    <row r="139" s="33" customFormat="1" x14ac:dyDescent="0.25"/>
    <row r="140" s="33" customFormat="1" x14ac:dyDescent="0.25"/>
    <row r="141" s="33" customFormat="1" x14ac:dyDescent="0.25"/>
    <row r="142" s="33" customFormat="1" x14ac:dyDescent="0.25"/>
    <row r="143" s="33" customFormat="1" x14ac:dyDescent="0.25"/>
    <row r="144" s="33" customFormat="1" x14ac:dyDescent="0.25"/>
    <row r="145" s="33" customFormat="1" x14ac:dyDescent="0.25"/>
    <row r="146" s="33" customFormat="1" x14ac:dyDescent="0.25"/>
    <row r="147" s="33" customFormat="1" x14ac:dyDescent="0.25"/>
    <row r="148" s="33" customFormat="1" x14ac:dyDescent="0.25"/>
    <row r="149" s="33" customFormat="1" x14ac:dyDescent="0.25"/>
    <row r="150" s="33" customFormat="1" x14ac:dyDescent="0.25"/>
    <row r="151" s="33" customFormat="1" x14ac:dyDescent="0.25"/>
    <row r="152" s="33" customFormat="1" x14ac:dyDescent="0.25"/>
    <row r="153" s="33" customFormat="1" x14ac:dyDescent="0.25"/>
    <row r="154" s="33" customFormat="1" x14ac:dyDescent="0.25"/>
    <row r="155" s="33" customFormat="1" x14ac:dyDescent="0.25"/>
    <row r="156" s="33" customFormat="1" x14ac:dyDescent="0.25"/>
    <row r="157" s="33" customFormat="1" x14ac:dyDescent="0.25"/>
    <row r="158" s="33" customFormat="1" x14ac:dyDescent="0.25"/>
    <row r="159" s="33" customFormat="1" x14ac:dyDescent="0.25"/>
    <row r="160" s="33" customFormat="1" x14ac:dyDescent="0.25"/>
    <row r="161" s="33" customFormat="1" x14ac:dyDescent="0.25"/>
    <row r="162" s="33" customFormat="1" x14ac:dyDescent="0.25"/>
    <row r="163" s="33" customFormat="1" x14ac:dyDescent="0.25"/>
    <row r="164" s="33" customFormat="1" x14ac:dyDescent="0.25"/>
    <row r="165" s="33" customFormat="1" x14ac:dyDescent="0.25"/>
    <row r="166" s="33" customFormat="1" x14ac:dyDescent="0.25"/>
    <row r="167" s="33" customFormat="1" x14ac:dyDescent="0.25"/>
    <row r="168" s="33" customFormat="1" x14ac:dyDescent="0.25"/>
    <row r="169" s="33" customFormat="1" x14ac:dyDescent="0.25"/>
    <row r="170" s="33" customFormat="1" x14ac:dyDescent="0.25"/>
    <row r="171" s="33" customFormat="1" x14ac:dyDescent="0.25"/>
    <row r="172" s="33" customFormat="1" x14ac:dyDescent="0.25"/>
    <row r="173" s="33" customFormat="1" x14ac:dyDescent="0.25"/>
    <row r="174" s="33" customFormat="1" x14ac:dyDescent="0.25"/>
    <row r="175" s="33" customFormat="1" x14ac:dyDescent="0.25"/>
    <row r="176" s="33" customFormat="1" x14ac:dyDescent="0.25"/>
    <row r="177" s="33" customFormat="1" x14ac:dyDescent="0.25"/>
    <row r="178" s="33" customFormat="1" x14ac:dyDescent="0.25"/>
    <row r="179" s="33" customFormat="1" x14ac:dyDescent="0.25"/>
    <row r="180" s="33" customFormat="1" x14ac:dyDescent="0.25"/>
    <row r="181" s="33" customFormat="1" x14ac:dyDescent="0.25"/>
    <row r="182" s="33" customFormat="1" x14ac:dyDescent="0.25"/>
    <row r="183" s="33" customFormat="1" x14ac:dyDescent="0.25"/>
    <row r="184" s="33" customFormat="1" x14ac:dyDescent="0.25"/>
    <row r="185" s="33" customFormat="1" x14ac:dyDescent="0.25"/>
    <row r="186" s="33" customFormat="1" x14ac:dyDescent="0.25"/>
  </sheetData>
  <mergeCells count="1">
    <mergeCell ref="A1:C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O823"/>
  <sheetViews>
    <sheetView topLeftCell="B22" zoomScale="90" zoomScaleNormal="90" workbookViewId="0">
      <selection activeCell="C58" sqref="C58"/>
    </sheetView>
  </sheetViews>
  <sheetFormatPr defaultRowHeight="12.5" x14ac:dyDescent="0.25"/>
  <cols>
    <col min="1" max="1" width="2.7265625" style="33" customWidth="1"/>
    <col min="2" max="2" width="57.26953125" customWidth="1"/>
    <col min="3" max="3" width="22.1796875" customWidth="1"/>
    <col min="4" max="4" width="11.7265625" customWidth="1"/>
    <col min="5" max="5" width="27.1796875" customWidth="1"/>
    <col min="6" max="6" width="19.7265625" style="15" bestFit="1" customWidth="1"/>
    <col min="7" max="7" width="9.26953125" style="15" bestFit="1" customWidth="1"/>
    <col min="8" max="8" width="9.1796875" style="33"/>
    <col min="9" max="10" width="9.1796875" style="55"/>
    <col min="11" max="11" width="9.81640625" style="55" customWidth="1"/>
    <col min="12" max="12" width="21.1796875" style="55" customWidth="1"/>
    <col min="13" max="41" width="9.1796875" style="33"/>
  </cols>
  <sheetData>
    <row r="1" spans="1:41" s="63" customFormat="1" ht="18" x14ac:dyDescent="0.4">
      <c r="A1" s="64"/>
      <c r="B1" s="67" t="s">
        <v>99</v>
      </c>
      <c r="C1" s="67"/>
      <c r="D1" s="67"/>
      <c r="E1" s="67"/>
      <c r="F1" s="67"/>
      <c r="G1" s="67"/>
      <c r="H1" s="282"/>
      <c r="I1" s="283"/>
      <c r="J1" s="284"/>
      <c r="K1" s="284"/>
      <c r="L1" s="284"/>
      <c r="M1" s="282"/>
      <c r="N1" s="282"/>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row>
    <row r="2" spans="1:41" s="87" customFormat="1" ht="15.5" x14ac:dyDescent="0.35">
      <c r="A2" s="88"/>
      <c r="B2" s="273" t="s">
        <v>11</v>
      </c>
      <c r="C2" s="273" t="s">
        <v>163</v>
      </c>
      <c r="D2" s="274" t="s">
        <v>100</v>
      </c>
      <c r="E2" s="273" t="s">
        <v>289</v>
      </c>
      <c r="F2" s="273" t="s">
        <v>165</v>
      </c>
      <c r="G2" s="273" t="s">
        <v>162</v>
      </c>
      <c r="H2" s="329"/>
      <c r="I2" s="329"/>
      <c r="J2" s="286"/>
      <c r="K2" s="286"/>
      <c r="L2" s="286"/>
      <c r="M2" s="285"/>
      <c r="N2" s="285"/>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row>
    <row r="3" spans="1:41" s="1" customFormat="1" ht="13" x14ac:dyDescent="0.3">
      <c r="A3" s="34"/>
      <c r="B3" s="275"/>
      <c r="C3" s="275" t="s">
        <v>298</v>
      </c>
      <c r="D3" s="276"/>
      <c r="E3" s="276" t="s">
        <v>10</v>
      </c>
      <c r="F3" s="276" t="s">
        <v>164</v>
      </c>
      <c r="G3" s="276" t="s">
        <v>166</v>
      </c>
      <c r="H3" s="287"/>
      <c r="I3" s="288"/>
      <c r="J3" s="288"/>
      <c r="K3" s="288"/>
      <c r="L3" s="283"/>
      <c r="M3" s="287"/>
      <c r="N3" s="287"/>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row>
    <row r="4" spans="1:41" s="1" customFormat="1" ht="13" x14ac:dyDescent="0.3">
      <c r="A4" s="34"/>
      <c r="B4" s="275" t="s">
        <v>77</v>
      </c>
      <c r="C4" s="275"/>
      <c r="D4" s="275"/>
      <c r="E4" s="275"/>
      <c r="F4" s="275"/>
      <c r="G4" s="275"/>
      <c r="H4" s="287"/>
      <c r="I4" s="283"/>
      <c r="J4" s="283"/>
      <c r="K4" s="283"/>
      <c r="L4" s="283"/>
      <c r="M4" s="287"/>
      <c r="N4" s="287"/>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row>
    <row r="5" spans="1:41" x14ac:dyDescent="0.25">
      <c r="B5" s="210" t="s">
        <v>62</v>
      </c>
      <c r="C5" s="230">
        <v>4153</v>
      </c>
      <c r="D5" s="277" t="s">
        <v>79</v>
      </c>
      <c r="E5" s="293">
        <f>C5/1.15</f>
        <v>3611.3043478260875</v>
      </c>
      <c r="F5" s="278">
        <v>15</v>
      </c>
      <c r="G5" s="278">
        <v>2019</v>
      </c>
      <c r="H5" s="289"/>
      <c r="I5" s="283"/>
      <c r="J5" s="283"/>
      <c r="K5" s="290"/>
      <c r="L5" s="283"/>
      <c r="M5" s="289"/>
      <c r="N5" s="289"/>
    </row>
    <row r="6" spans="1:41" x14ac:dyDescent="0.25">
      <c r="B6" s="210" t="s">
        <v>63</v>
      </c>
      <c r="C6" s="230">
        <v>16017</v>
      </c>
      <c r="D6" s="277" t="s">
        <v>79</v>
      </c>
      <c r="E6" s="293">
        <f>C6/1.15</f>
        <v>13927.826086956522</v>
      </c>
      <c r="F6" s="278">
        <v>15</v>
      </c>
      <c r="G6" s="278">
        <v>2019</v>
      </c>
      <c r="H6" s="289"/>
      <c r="I6" s="283"/>
      <c r="J6" s="283"/>
      <c r="K6" s="290"/>
      <c r="L6" s="283"/>
      <c r="M6" s="289"/>
      <c r="N6" s="289"/>
    </row>
    <row r="7" spans="1:41" x14ac:dyDescent="0.25">
      <c r="B7" s="210"/>
      <c r="C7" s="230"/>
      <c r="D7" s="277"/>
      <c r="E7" s="279"/>
      <c r="F7" s="278"/>
      <c r="G7" s="278"/>
      <c r="H7" s="289"/>
      <c r="I7" s="283"/>
      <c r="J7" s="283"/>
      <c r="K7" s="290"/>
      <c r="L7" s="283"/>
      <c r="M7" s="289"/>
      <c r="N7" s="289"/>
    </row>
    <row r="8" spans="1:41" ht="13" x14ac:dyDescent="0.3">
      <c r="B8" s="275" t="s">
        <v>78</v>
      </c>
      <c r="C8" s="230"/>
      <c r="D8" s="277"/>
      <c r="E8" s="279"/>
      <c r="F8" s="277"/>
      <c r="G8" s="278"/>
      <c r="H8" s="289"/>
      <c r="I8" s="283"/>
      <c r="J8" s="283"/>
      <c r="K8" s="290"/>
      <c r="L8" s="283"/>
      <c r="M8" s="289"/>
      <c r="N8" s="289"/>
    </row>
    <row r="9" spans="1:41" s="1" customFormat="1" ht="13" x14ac:dyDescent="0.3">
      <c r="A9" s="34"/>
      <c r="B9" s="213" t="s">
        <v>228</v>
      </c>
      <c r="C9" s="230">
        <v>11864</v>
      </c>
      <c r="D9" s="277" t="s">
        <v>80</v>
      </c>
      <c r="E9" s="293">
        <f>C9/1.15</f>
        <v>10316.521739130436</v>
      </c>
      <c r="F9" s="278">
        <v>15</v>
      </c>
      <c r="G9" s="278">
        <v>2019</v>
      </c>
      <c r="H9" s="287"/>
      <c r="I9" s="283"/>
      <c r="J9" s="283"/>
      <c r="K9" s="290"/>
      <c r="L9" s="283"/>
      <c r="M9" s="287"/>
      <c r="N9" s="287"/>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row>
    <row r="10" spans="1:41" ht="14.5" x14ac:dyDescent="0.25">
      <c r="B10" s="213" t="s">
        <v>215</v>
      </c>
      <c r="C10" s="230">
        <v>3797</v>
      </c>
      <c r="D10" s="277" t="s">
        <v>85</v>
      </c>
      <c r="E10" s="293">
        <f>C10/1.15</f>
        <v>3301.739130434783</v>
      </c>
      <c r="F10" s="278">
        <v>15</v>
      </c>
      <c r="G10" s="278">
        <v>2019</v>
      </c>
      <c r="H10" s="289"/>
      <c r="I10" s="283"/>
      <c r="J10" s="283"/>
      <c r="K10" s="290"/>
      <c r="L10" s="283"/>
      <c r="M10" s="289"/>
      <c r="N10" s="289"/>
    </row>
    <row r="11" spans="1:41" ht="14.5" x14ac:dyDescent="0.25">
      <c r="B11" s="213" t="s">
        <v>229</v>
      </c>
      <c r="C11" s="230">
        <v>10441</v>
      </c>
      <c r="D11" s="277" t="s">
        <v>86</v>
      </c>
      <c r="E11" s="293">
        <f>C11/1.15</f>
        <v>9079.1304347826099</v>
      </c>
      <c r="F11" s="278">
        <v>15</v>
      </c>
      <c r="G11" s="278">
        <v>2019</v>
      </c>
      <c r="H11" s="289"/>
      <c r="I11" s="283"/>
      <c r="J11" s="283"/>
      <c r="K11" s="290"/>
      <c r="L11" s="283"/>
      <c r="M11" s="289"/>
      <c r="N11" s="289"/>
    </row>
    <row r="12" spans="1:41" ht="15" customHeight="1" x14ac:dyDescent="0.25">
      <c r="B12" s="213" t="s">
        <v>217</v>
      </c>
      <c r="C12" s="230">
        <v>4271</v>
      </c>
      <c r="D12" s="277" t="s">
        <v>87</v>
      </c>
      <c r="E12" s="293">
        <f>C12/1.15</f>
        <v>3713.913043478261</v>
      </c>
      <c r="F12" s="278">
        <v>15</v>
      </c>
      <c r="G12" s="278">
        <v>2019</v>
      </c>
      <c r="H12" s="289"/>
      <c r="I12" s="283"/>
      <c r="J12" s="283"/>
      <c r="K12" s="283"/>
      <c r="L12" s="283"/>
      <c r="M12" s="289"/>
      <c r="N12" s="289"/>
    </row>
    <row r="13" spans="1:41" x14ac:dyDescent="0.25">
      <c r="B13" s="213" t="s">
        <v>216</v>
      </c>
      <c r="C13" s="213"/>
      <c r="D13" s="277"/>
      <c r="E13" s="213"/>
      <c r="F13" s="280"/>
      <c r="G13" s="280"/>
      <c r="H13" s="289"/>
      <c r="I13" s="283"/>
      <c r="J13" s="283"/>
      <c r="K13" s="283"/>
      <c r="L13" s="283"/>
      <c r="M13" s="289"/>
      <c r="N13" s="289"/>
    </row>
    <row r="14" spans="1:41" ht="14.5" x14ac:dyDescent="0.25">
      <c r="B14" s="213" t="s">
        <v>218</v>
      </c>
      <c r="C14" s="213">
        <v>83</v>
      </c>
      <c r="D14" s="277" t="s">
        <v>157</v>
      </c>
      <c r="E14" s="213"/>
      <c r="F14" s="280"/>
      <c r="G14" s="280"/>
      <c r="H14" s="289"/>
      <c r="I14" s="291"/>
      <c r="J14" s="291"/>
      <c r="K14" s="291"/>
      <c r="L14" s="291"/>
      <c r="M14" s="289"/>
      <c r="N14" s="289"/>
    </row>
    <row r="15" spans="1:41" ht="14.5" x14ac:dyDescent="0.25">
      <c r="B15" s="213" t="s">
        <v>92</v>
      </c>
      <c r="C15" s="213">
        <v>71</v>
      </c>
      <c r="D15" s="277" t="s">
        <v>157</v>
      </c>
      <c r="E15" s="213"/>
      <c r="F15" s="280"/>
      <c r="G15" s="280"/>
      <c r="H15" s="289"/>
      <c r="I15" s="289"/>
      <c r="J15" s="289"/>
      <c r="K15" s="289"/>
      <c r="L15" s="289"/>
      <c r="M15" s="289"/>
      <c r="N15" s="289"/>
    </row>
    <row r="16" spans="1:41" ht="15.5" x14ac:dyDescent="0.35">
      <c r="B16" s="213" t="s">
        <v>46</v>
      </c>
      <c r="C16" s="213">
        <v>71</v>
      </c>
      <c r="D16" s="277" t="s">
        <v>136</v>
      </c>
      <c r="E16" s="213"/>
      <c r="F16" s="210"/>
      <c r="G16" s="210"/>
      <c r="H16" s="289"/>
      <c r="I16" s="292"/>
      <c r="J16" s="292"/>
      <c r="K16" s="292"/>
      <c r="L16" s="292"/>
      <c r="M16" s="289"/>
      <c r="N16" s="289"/>
    </row>
    <row r="17" spans="1:41" s="69" customFormat="1" ht="15.5" x14ac:dyDescent="0.35">
      <c r="A17" s="68"/>
      <c r="B17" s="145"/>
      <c r="C17" s="145"/>
      <c r="D17" s="145"/>
      <c r="E17" s="145"/>
      <c r="F17" s="145"/>
      <c r="G17" s="145"/>
      <c r="H17" s="68"/>
      <c r="I17" s="65"/>
      <c r="J17" s="65"/>
      <c r="K17" s="65"/>
      <c r="L17" s="65"/>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row>
    <row r="18" spans="1:41" s="57" customFormat="1" ht="15.5" x14ac:dyDescent="0.35">
      <c r="A18" s="65"/>
      <c r="B18" s="146" t="s">
        <v>230</v>
      </c>
      <c r="C18" s="146"/>
      <c r="D18" s="146"/>
      <c r="E18" s="146"/>
      <c r="F18" s="146"/>
      <c r="G18" s="147"/>
      <c r="H18" s="65"/>
      <c r="I18" s="55"/>
      <c r="J18" s="55"/>
      <c r="K18" s="55"/>
      <c r="L18" s="5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row>
    <row r="19" spans="1:41" s="35" customFormat="1" ht="15.5" x14ac:dyDescent="0.35">
      <c r="A19" s="55"/>
      <c r="B19" s="148"/>
      <c r="C19" s="148"/>
      <c r="D19" s="148"/>
      <c r="E19" s="148"/>
      <c r="F19" s="148"/>
      <c r="G19" s="30"/>
      <c r="H19" s="198"/>
      <c r="I19" s="198"/>
      <c r="J19" s="198"/>
      <c r="K19" s="198"/>
      <c r="L19" s="198"/>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row>
    <row r="20" spans="1:41" s="35" customFormat="1" ht="15.5" x14ac:dyDescent="0.35">
      <c r="A20" s="55"/>
      <c r="B20" s="149" t="s">
        <v>231</v>
      </c>
      <c r="C20" s="150"/>
      <c r="D20" s="151"/>
      <c r="E20" s="152"/>
      <c r="F20" s="148"/>
      <c r="G20" s="30"/>
      <c r="H20" s="198"/>
      <c r="I20" s="198"/>
      <c r="J20" s="198"/>
      <c r="K20" s="198"/>
      <c r="L20" s="198"/>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row>
    <row r="21" spans="1:41" s="35" customFormat="1" ht="15.5" x14ac:dyDescent="0.35">
      <c r="A21" s="55"/>
      <c r="B21" s="153" t="s">
        <v>232</v>
      </c>
      <c r="C21" s="154"/>
      <c r="D21" s="155"/>
      <c r="E21" s="156"/>
      <c r="F21" s="157"/>
      <c r="G21" s="158"/>
      <c r="H21" s="198"/>
      <c r="I21" s="198"/>
      <c r="J21" s="198"/>
      <c r="K21" s="198"/>
      <c r="L21" s="198"/>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row>
    <row r="22" spans="1:41" s="35" customFormat="1" ht="15.5" x14ac:dyDescent="0.35">
      <c r="A22" s="55"/>
      <c r="B22" s="153" t="s">
        <v>233</v>
      </c>
      <c r="C22" s="154"/>
      <c r="D22" s="155"/>
      <c r="E22" s="156"/>
      <c r="F22" s="157"/>
      <c r="G22" s="158"/>
      <c r="H22" s="198"/>
      <c r="I22" s="198"/>
      <c r="J22" s="198"/>
      <c r="K22" s="198"/>
      <c r="L22" s="198"/>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row>
    <row r="23" spans="1:41" s="35" customFormat="1" ht="15.5" x14ac:dyDescent="0.35">
      <c r="A23" s="55"/>
      <c r="B23" s="153" t="s">
        <v>234</v>
      </c>
      <c r="C23" s="154"/>
      <c r="D23" s="155"/>
      <c r="E23" s="156"/>
      <c r="F23" s="157"/>
      <c r="G23" s="158"/>
      <c r="H23" s="198"/>
      <c r="I23" s="198"/>
      <c r="J23" s="198"/>
      <c r="K23" s="198"/>
      <c r="L23" s="198"/>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row>
    <row r="24" spans="1:41" s="35" customFormat="1" ht="15.5" x14ac:dyDescent="0.35">
      <c r="A24" s="55"/>
      <c r="B24" s="153" t="s">
        <v>235</v>
      </c>
      <c r="C24" s="154"/>
      <c r="D24" s="155"/>
      <c r="E24" s="156"/>
      <c r="F24" s="157"/>
      <c r="G24" s="158"/>
      <c r="H24" s="198"/>
      <c r="I24" s="198"/>
      <c r="J24" s="198"/>
      <c r="K24" s="198"/>
      <c r="L24" s="198"/>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row>
    <row r="25" spans="1:41" s="35" customFormat="1" ht="15.5" x14ac:dyDescent="0.35">
      <c r="A25" s="55"/>
      <c r="B25" s="153" t="s">
        <v>236</v>
      </c>
      <c r="C25" s="154"/>
      <c r="D25" s="155"/>
      <c r="E25" s="156"/>
      <c r="F25" s="157"/>
      <c r="G25" s="158"/>
      <c r="H25" s="198"/>
      <c r="I25" s="198"/>
      <c r="J25" s="198"/>
      <c r="K25" s="198"/>
      <c r="L25" s="198"/>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row>
    <row r="26" spans="1:41" s="35" customFormat="1" ht="15.5" x14ac:dyDescent="0.35">
      <c r="A26" s="55"/>
      <c r="B26" s="153" t="s">
        <v>237</v>
      </c>
      <c r="C26" s="154"/>
      <c r="D26" s="155"/>
      <c r="E26" s="156"/>
      <c r="F26" s="157"/>
      <c r="G26" s="158"/>
      <c r="H26" s="198"/>
      <c r="I26" s="198"/>
      <c r="J26" s="198"/>
      <c r="K26" s="198"/>
      <c r="L26" s="198"/>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row>
    <row r="27" spans="1:41" s="35" customFormat="1" ht="15.5" x14ac:dyDescent="0.35">
      <c r="A27" s="55"/>
      <c r="B27" s="153" t="s">
        <v>238</v>
      </c>
      <c r="C27" s="154"/>
      <c r="D27" s="155"/>
      <c r="E27" s="156"/>
      <c r="F27" s="157"/>
      <c r="G27" s="158"/>
      <c r="H27" s="198"/>
      <c r="I27" s="198"/>
      <c r="J27" s="198"/>
      <c r="K27" s="198"/>
      <c r="L27" s="198"/>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row>
    <row r="28" spans="1:41" s="35" customFormat="1" ht="15.5" x14ac:dyDescent="0.35">
      <c r="A28" s="55"/>
      <c r="B28" s="153"/>
      <c r="C28" s="154"/>
      <c r="D28" s="155"/>
      <c r="E28" s="156"/>
      <c r="F28" s="157"/>
      <c r="G28" s="158"/>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row>
    <row r="29" spans="1:41" s="35" customFormat="1" ht="13" x14ac:dyDescent="0.3">
      <c r="A29" s="55"/>
      <c r="B29" s="153" t="s">
        <v>239</v>
      </c>
      <c r="C29" s="159"/>
      <c r="D29" s="160"/>
      <c r="E29" s="161"/>
      <c r="F29" s="162"/>
      <c r="G29" s="158"/>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row>
    <row r="30" spans="1:41" s="35" customFormat="1" ht="13" x14ac:dyDescent="0.25">
      <c r="A30" s="55"/>
      <c r="B30" s="163"/>
      <c r="D30" s="164"/>
      <c r="E30" s="124"/>
      <c r="F30" s="165"/>
      <c r="G30" s="30"/>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row>
    <row r="31" spans="1:41" s="35" customFormat="1" x14ac:dyDescent="0.25">
      <c r="A31" s="55"/>
      <c r="B31" s="166" t="s">
        <v>240</v>
      </c>
      <c r="C31" s="167" t="s">
        <v>163</v>
      </c>
      <c r="D31" s="155"/>
      <c r="E31" s="161"/>
      <c r="F31" s="162"/>
      <c r="G31" s="158"/>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row>
    <row r="32" spans="1:41" s="35" customFormat="1" x14ac:dyDescent="0.25">
      <c r="A32" s="55"/>
      <c r="B32" s="153" t="s">
        <v>241</v>
      </c>
      <c r="C32" s="294" t="s">
        <v>279</v>
      </c>
      <c r="D32" s="168" t="s">
        <v>242</v>
      </c>
      <c r="E32" s="161"/>
      <c r="F32" s="162"/>
      <c r="G32" s="158"/>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row>
    <row r="33" spans="1:41" s="35" customFormat="1" ht="15.5" x14ac:dyDescent="0.35">
      <c r="A33" s="55"/>
      <c r="B33" s="153" t="s">
        <v>243</v>
      </c>
      <c r="C33" s="295" t="s">
        <v>280</v>
      </c>
      <c r="D33" s="168" t="s">
        <v>244</v>
      </c>
      <c r="E33" s="156"/>
      <c r="F33" s="159"/>
      <c r="G33" s="158"/>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row>
    <row r="34" spans="1:41" s="35" customFormat="1" ht="15.5" x14ac:dyDescent="0.35">
      <c r="A34" s="55"/>
      <c r="B34" s="153" t="s">
        <v>245</v>
      </c>
      <c r="C34" s="295" t="s">
        <v>281</v>
      </c>
      <c r="D34" s="168" t="s">
        <v>244</v>
      </c>
      <c r="E34" s="156"/>
      <c r="F34" s="159"/>
      <c r="G34" s="158"/>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row>
    <row r="35" spans="1:41" s="35" customFormat="1" ht="15.5" x14ac:dyDescent="0.35">
      <c r="A35" s="55"/>
      <c r="B35" s="153" t="s">
        <v>246</v>
      </c>
      <c r="C35" s="295" t="s">
        <v>282</v>
      </c>
      <c r="D35" s="168" t="s">
        <v>244</v>
      </c>
      <c r="E35" s="169"/>
      <c r="F35" s="159"/>
      <c r="G35" s="158"/>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row>
    <row r="36" spans="1:41" s="35" customFormat="1" ht="14.5" x14ac:dyDescent="0.35">
      <c r="A36" s="55"/>
      <c r="B36" s="153"/>
      <c r="C36" s="347"/>
      <c r="D36" s="168"/>
      <c r="E36" s="169"/>
      <c r="F36" s="159"/>
      <c r="G36" s="158"/>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row>
    <row r="37" spans="1:41" s="35" customFormat="1" ht="14.5" x14ac:dyDescent="0.35">
      <c r="A37" s="55"/>
      <c r="B37" s="166" t="s">
        <v>247</v>
      </c>
      <c r="C37" s="296"/>
      <c r="D37" s="170"/>
      <c r="E37" s="171"/>
      <c r="F37" s="172"/>
      <c r="G37" s="173"/>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row>
    <row r="38" spans="1:41" s="35" customFormat="1" ht="15.5" x14ac:dyDescent="0.35">
      <c r="A38" s="55"/>
      <c r="B38" s="153" t="s">
        <v>248</v>
      </c>
      <c r="C38" s="337" t="s">
        <v>299</v>
      </c>
      <c r="D38" s="168" t="s">
        <v>244</v>
      </c>
      <c r="E38" s="209"/>
      <c r="F38" s="172"/>
      <c r="G38" s="173"/>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row>
    <row r="39" spans="1:41" s="35" customFormat="1" ht="15.5" x14ac:dyDescent="0.35">
      <c r="A39" s="55"/>
      <c r="B39" s="153" t="s">
        <v>243</v>
      </c>
      <c r="C39" s="337" t="s">
        <v>300</v>
      </c>
      <c r="D39" s="168" t="s">
        <v>244</v>
      </c>
      <c r="E39" s="171"/>
      <c r="F39" s="172"/>
      <c r="G39" s="173"/>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row>
    <row r="40" spans="1:41" s="35" customFormat="1" ht="15.5" x14ac:dyDescent="0.35">
      <c r="A40" s="55"/>
      <c r="B40" s="153" t="s">
        <v>249</v>
      </c>
      <c r="C40" s="337" t="s">
        <v>301</v>
      </c>
      <c r="D40" s="168" t="s">
        <v>244</v>
      </c>
      <c r="E40" s="171"/>
      <c r="F40" s="172"/>
      <c r="G40" s="173"/>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row>
    <row r="41" spans="1:41" ht="15.5" x14ac:dyDescent="0.35">
      <c r="B41" s="153" t="s">
        <v>250</v>
      </c>
      <c r="C41" s="337" t="s">
        <v>301</v>
      </c>
      <c r="D41" s="168" t="s">
        <v>244</v>
      </c>
      <c r="E41" s="171"/>
      <c r="F41" s="172"/>
      <c r="G41" s="173"/>
    </row>
    <row r="42" spans="1:41" s="33" customFormat="1" ht="15.5" x14ac:dyDescent="0.35">
      <c r="B42" s="153" t="s">
        <v>251</v>
      </c>
      <c r="C42" s="337" t="s">
        <v>302</v>
      </c>
      <c r="D42" s="168" t="s">
        <v>244</v>
      </c>
      <c r="E42" s="171"/>
      <c r="F42" s="172"/>
      <c r="G42" s="173"/>
      <c r="I42" s="55"/>
      <c r="J42" s="55"/>
      <c r="K42" s="55"/>
      <c r="L42" s="55"/>
    </row>
    <row r="43" spans="1:41" s="33" customFormat="1" ht="15.5" x14ac:dyDescent="0.35">
      <c r="B43" s="174" t="s">
        <v>252</v>
      </c>
      <c r="C43" s="337" t="s">
        <v>303</v>
      </c>
      <c r="D43" s="168" t="s">
        <v>244</v>
      </c>
      <c r="E43" s="171"/>
      <c r="F43" s="172"/>
      <c r="G43" s="173"/>
      <c r="I43" s="55"/>
      <c r="J43" s="55"/>
      <c r="K43" s="55"/>
      <c r="L43" s="55"/>
    </row>
    <row r="44" spans="1:41" s="33" customFormat="1" ht="15.5" x14ac:dyDescent="0.35">
      <c r="B44" s="153" t="s">
        <v>253</v>
      </c>
      <c r="C44" s="337" t="s">
        <v>304</v>
      </c>
      <c r="D44" s="168" t="s">
        <v>244</v>
      </c>
      <c r="E44" s="171"/>
      <c r="F44" s="172"/>
      <c r="G44" s="173"/>
      <c r="I44" s="55"/>
      <c r="J44" s="55"/>
      <c r="K44" s="55"/>
      <c r="L44" s="55"/>
    </row>
    <row r="45" spans="1:41" s="33" customFormat="1" ht="14.5" x14ac:dyDescent="0.35">
      <c r="B45" s="175"/>
      <c r="C45" s="297"/>
      <c r="D45" s="176"/>
      <c r="E45" s="175"/>
      <c r="F45" s="177"/>
      <c r="G45" s="178"/>
      <c r="I45" s="55"/>
      <c r="J45" s="55"/>
      <c r="K45" s="55"/>
      <c r="L45" s="55"/>
    </row>
    <row r="46" spans="1:41" s="33" customFormat="1" ht="13" x14ac:dyDescent="0.3">
      <c r="B46" s="179" t="s">
        <v>254</v>
      </c>
      <c r="C46" s="298"/>
      <c r="D46" s="165"/>
      <c r="E46" s="165"/>
      <c r="F46" s="180"/>
      <c r="G46" s="30"/>
      <c r="I46" s="55"/>
      <c r="J46" s="55"/>
      <c r="K46" s="55"/>
      <c r="L46" s="55"/>
    </row>
    <row r="47" spans="1:41" s="33" customFormat="1" x14ac:dyDescent="0.25">
      <c r="B47" s="165" t="s">
        <v>114</v>
      </c>
      <c r="C47" s="338">
        <v>3800</v>
      </c>
      <c r="D47" s="165" t="s">
        <v>79</v>
      </c>
      <c r="E47" s="165"/>
      <c r="F47" s="180"/>
      <c r="G47" s="30"/>
      <c r="I47" s="55"/>
      <c r="J47" s="55"/>
      <c r="K47" s="55"/>
      <c r="L47" s="55"/>
    </row>
    <row r="48" spans="1:41" s="33" customFormat="1" x14ac:dyDescent="0.25">
      <c r="B48" s="165" t="s">
        <v>115</v>
      </c>
      <c r="C48" s="298">
        <v>800</v>
      </c>
      <c r="D48" s="165" t="s">
        <v>79</v>
      </c>
      <c r="E48" s="165"/>
      <c r="F48" s="180"/>
      <c r="G48" s="30"/>
      <c r="I48" s="55"/>
      <c r="J48" s="55"/>
      <c r="K48" s="55"/>
      <c r="L48" s="55"/>
    </row>
    <row r="49" spans="2:12" s="33" customFormat="1" x14ac:dyDescent="0.25">
      <c r="B49" s="165" t="s">
        <v>116</v>
      </c>
      <c r="C49" s="338">
        <v>1600</v>
      </c>
      <c r="D49" s="165" t="s">
        <v>79</v>
      </c>
      <c r="E49" s="165"/>
      <c r="F49" s="180"/>
      <c r="G49" s="30"/>
      <c r="I49" s="55"/>
      <c r="J49" s="55"/>
      <c r="K49" s="55"/>
      <c r="L49" s="55"/>
    </row>
    <row r="50" spans="2:12" s="33" customFormat="1" x14ac:dyDescent="0.25">
      <c r="B50" s="165" t="s">
        <v>117</v>
      </c>
      <c r="C50" s="338">
        <v>13400</v>
      </c>
      <c r="D50" s="165" t="s">
        <v>79</v>
      </c>
      <c r="E50" s="165"/>
      <c r="F50" s="180"/>
      <c r="G50" s="30"/>
      <c r="I50" s="55"/>
      <c r="J50" s="55"/>
      <c r="K50" s="55"/>
      <c r="L50" s="55"/>
    </row>
    <row r="51" spans="2:12" s="33" customFormat="1" x14ac:dyDescent="0.25">
      <c r="B51" s="165" t="s">
        <v>118</v>
      </c>
      <c r="C51" s="298"/>
      <c r="D51" s="165"/>
      <c r="E51" s="165"/>
      <c r="F51" s="180"/>
      <c r="G51" s="30"/>
      <c r="I51" s="55"/>
      <c r="J51" s="55"/>
      <c r="K51" s="55"/>
      <c r="L51" s="55"/>
    </row>
    <row r="52" spans="2:12" s="33" customFormat="1" ht="14.5" x14ac:dyDescent="0.35">
      <c r="B52" s="180" t="s">
        <v>24</v>
      </c>
      <c r="C52" s="299">
        <v>0</v>
      </c>
      <c r="D52" s="181" t="s">
        <v>161</v>
      </c>
      <c r="E52" s="165"/>
      <c r="F52" s="180"/>
      <c r="G52" s="30"/>
      <c r="I52" s="55"/>
      <c r="J52" s="55"/>
      <c r="K52" s="55"/>
      <c r="L52" s="55"/>
    </row>
    <row r="53" spans="2:12" s="33" customFormat="1" x14ac:dyDescent="0.25">
      <c r="B53" s="126" t="s">
        <v>255</v>
      </c>
      <c r="C53" s="300">
        <v>80000</v>
      </c>
      <c r="D53" s="127" t="s">
        <v>256</v>
      </c>
      <c r="E53" s="182"/>
      <c r="F53" s="180"/>
      <c r="G53" s="30"/>
      <c r="I53" s="55"/>
      <c r="J53" s="55"/>
      <c r="K53" s="55"/>
      <c r="L53" s="55"/>
    </row>
    <row r="54" spans="2:12" s="33" customFormat="1" x14ac:dyDescent="0.25">
      <c r="B54" s="126" t="s">
        <v>257</v>
      </c>
      <c r="C54" s="300">
        <v>39000</v>
      </c>
      <c r="D54" s="127" t="s">
        <v>256</v>
      </c>
      <c r="E54" s="182"/>
      <c r="F54" s="180"/>
      <c r="G54" s="30"/>
      <c r="I54" s="55"/>
      <c r="J54" s="55"/>
      <c r="K54" s="55"/>
      <c r="L54" s="55"/>
    </row>
    <row r="55" spans="2:12" s="33" customFormat="1" x14ac:dyDescent="0.25">
      <c r="B55" s="165"/>
      <c r="C55" s="298"/>
      <c r="D55" s="165"/>
      <c r="E55" s="182"/>
      <c r="F55" s="180"/>
      <c r="G55" s="30"/>
      <c r="I55" s="55"/>
      <c r="J55" s="55"/>
      <c r="K55" s="55"/>
      <c r="L55" s="55"/>
    </row>
    <row r="56" spans="2:12" s="33" customFormat="1" ht="13" x14ac:dyDescent="0.3">
      <c r="B56" s="179" t="s">
        <v>13</v>
      </c>
      <c r="C56" s="298"/>
      <c r="D56" s="165"/>
      <c r="E56" s="165"/>
      <c r="F56" s="180"/>
      <c r="G56" s="30"/>
      <c r="I56" s="55"/>
      <c r="J56" s="55"/>
      <c r="K56" s="55"/>
      <c r="L56" s="55"/>
    </row>
    <row r="57" spans="2:12" s="33" customFormat="1" x14ac:dyDescent="0.25">
      <c r="B57" s="165" t="s">
        <v>119</v>
      </c>
      <c r="C57" s="301" t="s">
        <v>283</v>
      </c>
      <c r="D57" s="165" t="s">
        <v>120</v>
      </c>
      <c r="E57" s="165"/>
      <c r="F57" s="165"/>
      <c r="G57" s="30"/>
      <c r="I57" s="55"/>
      <c r="J57" s="55"/>
      <c r="K57" s="55"/>
      <c r="L57" s="55"/>
    </row>
    <row r="58" spans="2:12" s="33" customFormat="1" x14ac:dyDescent="0.25">
      <c r="B58" s="165" t="s">
        <v>121</v>
      </c>
      <c r="C58" s="302">
        <v>34000</v>
      </c>
      <c r="D58" s="165" t="s">
        <v>120</v>
      </c>
      <c r="E58" s="165"/>
      <c r="F58" s="165"/>
      <c r="G58" s="30"/>
      <c r="I58" s="55"/>
      <c r="J58" s="55"/>
      <c r="K58" s="55"/>
      <c r="L58" s="55"/>
    </row>
    <row r="59" spans="2:12" s="33" customFormat="1" x14ac:dyDescent="0.25">
      <c r="B59" s="165" t="s">
        <v>122</v>
      </c>
      <c r="C59" s="302" t="s">
        <v>285</v>
      </c>
      <c r="D59" s="165" t="s">
        <v>120</v>
      </c>
      <c r="E59" s="165"/>
      <c r="F59" s="165"/>
      <c r="G59" s="30"/>
      <c r="I59" s="55"/>
      <c r="J59" s="55"/>
      <c r="K59" s="55"/>
      <c r="L59" s="55"/>
    </row>
    <row r="60" spans="2:12" s="33" customFormat="1" x14ac:dyDescent="0.25">
      <c r="B60" s="165" t="s">
        <v>123</v>
      </c>
      <c r="C60" s="301" t="s">
        <v>284</v>
      </c>
      <c r="D60" s="165" t="s">
        <v>120</v>
      </c>
      <c r="E60" s="165"/>
      <c r="F60" s="165"/>
      <c r="G60" s="30"/>
      <c r="I60" s="55"/>
      <c r="J60" s="55"/>
      <c r="K60" s="55"/>
      <c r="L60" s="55"/>
    </row>
    <row r="61" spans="2:12" s="33" customFormat="1" x14ac:dyDescent="0.25">
      <c r="B61" s="165" t="s">
        <v>124</v>
      </c>
      <c r="C61" s="301" t="s">
        <v>284</v>
      </c>
      <c r="D61" s="165" t="s">
        <v>125</v>
      </c>
      <c r="E61" s="165"/>
      <c r="F61" s="165"/>
      <c r="G61" s="30"/>
      <c r="I61" s="55"/>
      <c r="J61" s="55"/>
      <c r="K61" s="55"/>
      <c r="L61" s="55"/>
    </row>
    <row r="62" spans="2:12" s="33" customFormat="1" x14ac:dyDescent="0.25">
      <c r="B62" s="165" t="s">
        <v>126</v>
      </c>
      <c r="C62" s="301" t="s">
        <v>286</v>
      </c>
      <c r="D62" s="165" t="s">
        <v>125</v>
      </c>
      <c r="E62" s="165"/>
      <c r="F62" s="165"/>
      <c r="G62" s="30"/>
      <c r="I62" s="55"/>
      <c r="J62" s="55"/>
      <c r="K62" s="55"/>
      <c r="L62" s="55"/>
    </row>
    <row r="63" spans="2:12" s="33" customFormat="1" x14ac:dyDescent="0.25">
      <c r="B63" s="165" t="s">
        <v>127</v>
      </c>
      <c r="C63" s="301" t="s">
        <v>287</v>
      </c>
      <c r="D63" s="165" t="s">
        <v>125</v>
      </c>
      <c r="E63" s="165"/>
      <c r="F63" s="165"/>
      <c r="G63" s="30"/>
      <c r="I63" s="55"/>
      <c r="J63" s="55"/>
      <c r="K63" s="55"/>
      <c r="L63" s="55"/>
    </row>
    <row r="64" spans="2:12" s="33" customFormat="1" x14ac:dyDescent="0.25">
      <c r="B64" s="165" t="s">
        <v>128</v>
      </c>
      <c r="C64" s="302" t="s">
        <v>288</v>
      </c>
      <c r="D64" s="165" t="s">
        <v>125</v>
      </c>
      <c r="E64" s="165"/>
      <c r="F64" s="165"/>
      <c r="G64" s="30"/>
      <c r="I64" s="55"/>
      <c r="J64" s="55"/>
      <c r="K64" s="55"/>
      <c r="L64" s="55"/>
    </row>
    <row r="65" spans="2:12" s="33" customFormat="1" x14ac:dyDescent="0.25">
      <c r="B65" s="165"/>
      <c r="C65" s="165"/>
      <c r="D65" s="165"/>
      <c r="E65" s="165"/>
      <c r="F65" s="180"/>
      <c r="G65" s="15"/>
      <c r="I65" s="55"/>
      <c r="J65" s="55"/>
      <c r="K65" s="55"/>
      <c r="L65" s="55"/>
    </row>
    <row r="66" spans="2:12" s="33" customFormat="1" ht="13" x14ac:dyDescent="0.3">
      <c r="B66" s="125" t="s">
        <v>129</v>
      </c>
      <c r="C66" s="135" t="s">
        <v>258</v>
      </c>
      <c r="D66" s="127"/>
      <c r="E66" s="125" t="s">
        <v>259</v>
      </c>
      <c r="F66" s="180"/>
      <c r="G66" s="15"/>
      <c r="I66" s="55"/>
      <c r="J66" s="55"/>
      <c r="K66" s="55"/>
      <c r="L66" s="55"/>
    </row>
    <row r="67" spans="2:12" s="33" customFormat="1" x14ac:dyDescent="0.25">
      <c r="B67" s="126" t="s">
        <v>260</v>
      </c>
      <c r="C67" s="301">
        <v>75</v>
      </c>
      <c r="D67" s="127" t="s">
        <v>261</v>
      </c>
      <c r="E67" s="301">
        <v>750</v>
      </c>
      <c r="F67" s="127" t="s">
        <v>262</v>
      </c>
      <c r="G67" s="15"/>
      <c r="I67" s="55"/>
      <c r="J67" s="55"/>
      <c r="K67" s="55"/>
      <c r="L67" s="55"/>
    </row>
    <row r="68" spans="2:12" s="33" customFormat="1" x14ac:dyDescent="0.25">
      <c r="B68" s="126" t="s">
        <v>263</v>
      </c>
      <c r="C68" s="301" t="s">
        <v>290</v>
      </c>
      <c r="D68" s="127" t="s">
        <v>261</v>
      </c>
      <c r="E68" s="301" t="s">
        <v>291</v>
      </c>
      <c r="F68" s="127" t="s">
        <v>262</v>
      </c>
      <c r="G68" s="15"/>
      <c r="I68" s="55"/>
      <c r="J68" s="55"/>
      <c r="K68" s="55"/>
      <c r="L68" s="55"/>
    </row>
    <row r="69" spans="2:12" s="33" customFormat="1" ht="14.5" x14ac:dyDescent="0.25">
      <c r="B69" s="183"/>
      <c r="C69" s="184"/>
      <c r="D69" s="185"/>
      <c r="E69" s="186"/>
      <c r="F69" s="15"/>
      <c r="G69" s="15"/>
      <c r="I69" s="55"/>
      <c r="J69" s="55"/>
      <c r="K69" s="55"/>
      <c r="L69" s="55"/>
    </row>
    <row r="70" spans="2:12" s="33" customFormat="1" x14ac:dyDescent="0.25">
      <c r="I70" s="55"/>
      <c r="J70" s="55"/>
      <c r="K70" s="55"/>
      <c r="L70" s="55"/>
    </row>
    <row r="71" spans="2:12" s="33" customFormat="1" x14ac:dyDescent="0.25">
      <c r="I71" s="55"/>
      <c r="J71" s="55"/>
      <c r="K71" s="55"/>
      <c r="L71" s="55"/>
    </row>
    <row r="72" spans="2:12" s="33" customFormat="1" x14ac:dyDescent="0.25">
      <c r="I72" s="55"/>
      <c r="J72" s="55"/>
      <c r="K72" s="55"/>
      <c r="L72" s="55"/>
    </row>
    <row r="73" spans="2:12" s="33" customFormat="1" x14ac:dyDescent="0.25">
      <c r="I73" s="55"/>
      <c r="J73" s="55"/>
      <c r="K73" s="55"/>
      <c r="L73" s="55"/>
    </row>
    <row r="74" spans="2:12" s="33" customFormat="1" x14ac:dyDescent="0.25">
      <c r="I74" s="55"/>
      <c r="J74" s="55"/>
      <c r="K74" s="55"/>
      <c r="L74" s="55"/>
    </row>
    <row r="75" spans="2:12" s="33" customFormat="1" x14ac:dyDescent="0.25">
      <c r="I75" s="55"/>
      <c r="J75" s="55"/>
      <c r="K75" s="55"/>
      <c r="L75" s="55"/>
    </row>
    <row r="76" spans="2:12" s="33" customFormat="1" x14ac:dyDescent="0.25">
      <c r="I76" s="55"/>
      <c r="J76" s="55"/>
      <c r="K76" s="55"/>
      <c r="L76" s="55"/>
    </row>
    <row r="77" spans="2:12" s="33" customFormat="1" x14ac:dyDescent="0.25">
      <c r="I77" s="55"/>
      <c r="J77" s="55"/>
      <c r="K77" s="55"/>
      <c r="L77" s="55"/>
    </row>
    <row r="78" spans="2:12" s="33" customFormat="1" x14ac:dyDescent="0.25">
      <c r="I78" s="55"/>
      <c r="J78" s="55"/>
      <c r="K78" s="55"/>
      <c r="L78" s="55"/>
    </row>
    <row r="79" spans="2:12" s="33" customFormat="1" x14ac:dyDescent="0.25">
      <c r="I79" s="55"/>
      <c r="J79" s="55"/>
      <c r="K79" s="55"/>
      <c r="L79" s="55"/>
    </row>
    <row r="80" spans="2:12" s="33" customFormat="1" x14ac:dyDescent="0.25">
      <c r="I80" s="55"/>
      <c r="J80" s="55"/>
      <c r="K80" s="55"/>
      <c r="L80" s="55"/>
    </row>
    <row r="81" spans="9:12" s="33" customFormat="1" x14ac:dyDescent="0.25">
      <c r="I81" s="55"/>
      <c r="J81" s="55"/>
      <c r="K81" s="55"/>
      <c r="L81" s="55"/>
    </row>
    <row r="82" spans="9:12" s="33" customFormat="1" x14ac:dyDescent="0.25">
      <c r="I82" s="55"/>
      <c r="J82" s="55"/>
      <c r="K82" s="55"/>
      <c r="L82" s="55"/>
    </row>
    <row r="83" spans="9:12" s="33" customFormat="1" x14ac:dyDescent="0.25">
      <c r="I83" s="55"/>
      <c r="J83" s="55"/>
      <c r="K83" s="55"/>
      <c r="L83" s="55"/>
    </row>
    <row r="84" spans="9:12" s="33" customFormat="1" x14ac:dyDescent="0.25">
      <c r="I84" s="55"/>
      <c r="J84" s="55"/>
      <c r="K84" s="55"/>
      <c r="L84" s="55"/>
    </row>
    <row r="85" spans="9:12" s="33" customFormat="1" x14ac:dyDescent="0.25">
      <c r="I85" s="55"/>
      <c r="J85" s="55"/>
      <c r="K85" s="55"/>
      <c r="L85" s="55"/>
    </row>
    <row r="86" spans="9:12" s="33" customFormat="1" x14ac:dyDescent="0.25">
      <c r="I86" s="55"/>
      <c r="J86" s="55"/>
      <c r="K86" s="55"/>
      <c r="L86" s="55"/>
    </row>
    <row r="87" spans="9:12" s="33" customFormat="1" x14ac:dyDescent="0.25">
      <c r="I87" s="55"/>
      <c r="J87" s="55"/>
      <c r="K87" s="55"/>
      <c r="L87" s="55"/>
    </row>
    <row r="88" spans="9:12" s="33" customFormat="1" x14ac:dyDescent="0.25">
      <c r="I88" s="55"/>
      <c r="J88" s="55"/>
      <c r="K88" s="55"/>
      <c r="L88" s="55"/>
    </row>
    <row r="89" spans="9:12" s="33" customFormat="1" x14ac:dyDescent="0.25">
      <c r="I89" s="55"/>
      <c r="J89" s="55"/>
      <c r="K89" s="55"/>
      <c r="L89" s="55"/>
    </row>
    <row r="90" spans="9:12" s="33" customFormat="1" x14ac:dyDescent="0.25">
      <c r="I90" s="55"/>
      <c r="J90" s="55"/>
      <c r="K90" s="55"/>
      <c r="L90" s="55"/>
    </row>
    <row r="91" spans="9:12" s="33" customFormat="1" x14ac:dyDescent="0.25">
      <c r="I91" s="55"/>
      <c r="J91" s="55"/>
      <c r="K91" s="55"/>
      <c r="L91" s="55"/>
    </row>
    <row r="92" spans="9:12" s="33" customFormat="1" x14ac:dyDescent="0.25">
      <c r="I92" s="55"/>
      <c r="J92" s="55"/>
      <c r="K92" s="55"/>
      <c r="L92" s="55"/>
    </row>
    <row r="93" spans="9:12" s="33" customFormat="1" x14ac:dyDescent="0.25">
      <c r="I93" s="55"/>
      <c r="J93" s="55"/>
      <c r="K93" s="55"/>
      <c r="L93" s="55"/>
    </row>
    <row r="94" spans="9:12" s="33" customFormat="1" x14ac:dyDescent="0.25">
      <c r="I94" s="55"/>
      <c r="J94" s="55"/>
      <c r="K94" s="55"/>
      <c r="L94" s="55"/>
    </row>
    <row r="95" spans="9:12" s="33" customFormat="1" x14ac:dyDescent="0.25">
      <c r="I95" s="55"/>
      <c r="J95" s="55"/>
      <c r="K95" s="55"/>
      <c r="L95" s="55"/>
    </row>
    <row r="96" spans="9:12" s="33" customFormat="1" x14ac:dyDescent="0.25">
      <c r="I96" s="55"/>
      <c r="J96" s="55"/>
      <c r="K96" s="55"/>
      <c r="L96" s="55"/>
    </row>
    <row r="97" spans="9:12" s="33" customFormat="1" x14ac:dyDescent="0.25">
      <c r="I97" s="55"/>
      <c r="J97" s="55"/>
      <c r="K97" s="55"/>
      <c r="L97" s="55"/>
    </row>
    <row r="98" spans="9:12" s="33" customFormat="1" x14ac:dyDescent="0.25">
      <c r="I98" s="55"/>
      <c r="J98" s="55"/>
      <c r="K98" s="55"/>
      <c r="L98" s="55"/>
    </row>
    <row r="99" spans="9:12" s="33" customFormat="1" x14ac:dyDescent="0.25">
      <c r="I99" s="55"/>
      <c r="J99" s="55"/>
      <c r="K99" s="55"/>
      <c r="L99" s="55"/>
    </row>
    <row r="100" spans="9:12" s="33" customFormat="1" x14ac:dyDescent="0.25">
      <c r="I100" s="55"/>
      <c r="J100" s="55"/>
      <c r="K100" s="55"/>
      <c r="L100" s="55"/>
    </row>
    <row r="101" spans="9:12" s="33" customFormat="1" x14ac:dyDescent="0.25">
      <c r="I101" s="55"/>
      <c r="J101" s="55"/>
      <c r="K101" s="55"/>
      <c r="L101" s="55"/>
    </row>
    <row r="102" spans="9:12" s="33" customFormat="1" x14ac:dyDescent="0.25">
      <c r="I102" s="55"/>
      <c r="J102" s="55"/>
      <c r="K102" s="55"/>
      <c r="L102" s="55"/>
    </row>
    <row r="103" spans="9:12" s="33" customFormat="1" x14ac:dyDescent="0.25">
      <c r="I103" s="55"/>
      <c r="J103" s="55"/>
      <c r="K103" s="55"/>
      <c r="L103" s="55"/>
    </row>
    <row r="104" spans="9:12" s="33" customFormat="1" x14ac:dyDescent="0.25">
      <c r="I104" s="55"/>
      <c r="J104" s="55"/>
      <c r="K104" s="55"/>
      <c r="L104" s="55"/>
    </row>
    <row r="105" spans="9:12" s="33" customFormat="1" x14ac:dyDescent="0.25">
      <c r="I105" s="55"/>
      <c r="J105" s="55"/>
      <c r="K105" s="55"/>
      <c r="L105" s="55"/>
    </row>
    <row r="106" spans="9:12" s="33" customFormat="1" x14ac:dyDescent="0.25">
      <c r="I106" s="55"/>
      <c r="J106" s="55"/>
      <c r="K106" s="55"/>
      <c r="L106" s="55"/>
    </row>
    <row r="107" spans="9:12" s="33" customFormat="1" x14ac:dyDescent="0.25">
      <c r="I107" s="55"/>
      <c r="J107" s="55"/>
      <c r="K107" s="55"/>
      <c r="L107" s="55"/>
    </row>
    <row r="108" spans="9:12" s="33" customFormat="1" x14ac:dyDescent="0.25">
      <c r="I108" s="55"/>
      <c r="J108" s="55"/>
      <c r="K108" s="55"/>
      <c r="L108" s="55"/>
    </row>
    <row r="109" spans="9:12" s="33" customFormat="1" x14ac:dyDescent="0.25">
      <c r="I109" s="55"/>
      <c r="J109" s="55"/>
      <c r="K109" s="55"/>
      <c r="L109" s="55"/>
    </row>
    <row r="110" spans="9:12" s="33" customFormat="1" x14ac:dyDescent="0.25">
      <c r="I110" s="55"/>
      <c r="J110" s="55"/>
      <c r="K110" s="55"/>
      <c r="L110" s="55"/>
    </row>
    <row r="111" spans="9:12" s="33" customFormat="1" x14ac:dyDescent="0.25">
      <c r="I111" s="55"/>
      <c r="J111" s="55"/>
      <c r="K111" s="55"/>
      <c r="L111" s="55"/>
    </row>
    <row r="112" spans="9:12" s="33" customFormat="1" x14ac:dyDescent="0.25">
      <c r="I112" s="55"/>
      <c r="J112" s="55"/>
      <c r="K112" s="55"/>
      <c r="L112" s="55"/>
    </row>
    <row r="113" spans="9:12" s="33" customFormat="1" x14ac:dyDescent="0.25">
      <c r="I113" s="55"/>
      <c r="J113" s="55"/>
      <c r="K113" s="55"/>
      <c r="L113" s="55"/>
    </row>
    <row r="114" spans="9:12" s="33" customFormat="1" x14ac:dyDescent="0.25">
      <c r="I114" s="55"/>
      <c r="J114" s="55"/>
      <c r="K114" s="55"/>
      <c r="L114" s="55"/>
    </row>
    <row r="115" spans="9:12" s="33" customFormat="1" x14ac:dyDescent="0.25">
      <c r="I115" s="55"/>
      <c r="J115" s="55"/>
      <c r="K115" s="55"/>
      <c r="L115" s="55"/>
    </row>
    <row r="116" spans="9:12" s="33" customFormat="1" x14ac:dyDescent="0.25">
      <c r="I116" s="55"/>
      <c r="J116" s="55"/>
      <c r="K116" s="55"/>
      <c r="L116" s="55"/>
    </row>
    <row r="117" spans="9:12" s="33" customFormat="1" x14ac:dyDescent="0.25">
      <c r="I117" s="55"/>
      <c r="J117" s="55"/>
      <c r="K117" s="55"/>
      <c r="L117" s="55"/>
    </row>
    <row r="118" spans="9:12" s="33" customFormat="1" x14ac:dyDescent="0.25">
      <c r="I118" s="55"/>
      <c r="J118" s="55"/>
      <c r="K118" s="55"/>
      <c r="L118" s="55"/>
    </row>
    <row r="119" spans="9:12" s="33" customFormat="1" x14ac:dyDescent="0.25">
      <c r="I119" s="55"/>
      <c r="J119" s="55"/>
      <c r="K119" s="55"/>
      <c r="L119" s="55"/>
    </row>
    <row r="120" spans="9:12" s="33" customFormat="1" x14ac:dyDescent="0.25">
      <c r="I120" s="55"/>
      <c r="J120" s="55"/>
      <c r="K120" s="55"/>
      <c r="L120" s="55"/>
    </row>
    <row r="121" spans="9:12" s="33" customFormat="1" x14ac:dyDescent="0.25">
      <c r="I121" s="55"/>
      <c r="J121" s="55"/>
      <c r="K121" s="55"/>
      <c r="L121" s="55"/>
    </row>
    <row r="122" spans="9:12" s="33" customFormat="1" x14ac:dyDescent="0.25">
      <c r="I122" s="55"/>
      <c r="J122" s="55"/>
      <c r="K122" s="55"/>
      <c r="L122" s="55"/>
    </row>
    <row r="123" spans="9:12" s="33" customFormat="1" x14ac:dyDescent="0.25">
      <c r="I123" s="55"/>
      <c r="J123" s="55"/>
      <c r="K123" s="55"/>
      <c r="L123" s="55"/>
    </row>
    <row r="124" spans="9:12" s="33" customFormat="1" x14ac:dyDescent="0.25">
      <c r="I124" s="55"/>
      <c r="J124" s="55"/>
      <c r="K124" s="55"/>
      <c r="L124" s="55"/>
    </row>
    <row r="125" spans="9:12" s="33" customFormat="1" x14ac:dyDescent="0.25">
      <c r="I125" s="55"/>
      <c r="J125" s="55"/>
      <c r="K125" s="55"/>
      <c r="L125" s="55"/>
    </row>
    <row r="126" spans="9:12" s="33" customFormat="1" x14ac:dyDescent="0.25">
      <c r="I126" s="55"/>
      <c r="J126" s="55"/>
      <c r="K126" s="55"/>
      <c r="L126" s="55"/>
    </row>
    <row r="127" spans="9:12" s="33" customFormat="1" x14ac:dyDescent="0.25">
      <c r="I127" s="55"/>
      <c r="J127" s="55"/>
      <c r="K127" s="55"/>
      <c r="L127" s="55"/>
    </row>
    <row r="128" spans="9:12" s="33" customFormat="1" x14ac:dyDescent="0.25">
      <c r="I128" s="55"/>
      <c r="J128" s="55"/>
      <c r="K128" s="55"/>
      <c r="L128" s="55"/>
    </row>
    <row r="129" spans="9:12" s="33" customFormat="1" x14ac:dyDescent="0.25">
      <c r="I129" s="55"/>
      <c r="J129" s="55"/>
      <c r="K129" s="55"/>
      <c r="L129" s="55"/>
    </row>
    <row r="130" spans="9:12" s="33" customFormat="1" x14ac:dyDescent="0.25">
      <c r="I130" s="55"/>
      <c r="J130" s="55"/>
      <c r="K130" s="55"/>
      <c r="L130" s="55"/>
    </row>
    <row r="131" spans="9:12" s="33" customFormat="1" x14ac:dyDescent="0.25">
      <c r="I131" s="55"/>
      <c r="J131" s="55"/>
      <c r="K131" s="55"/>
      <c r="L131" s="55"/>
    </row>
    <row r="132" spans="9:12" s="33" customFormat="1" x14ac:dyDescent="0.25">
      <c r="I132" s="55"/>
      <c r="J132" s="55"/>
      <c r="K132" s="55"/>
      <c r="L132" s="55"/>
    </row>
    <row r="133" spans="9:12" s="33" customFormat="1" x14ac:dyDescent="0.25">
      <c r="I133" s="55"/>
      <c r="J133" s="55"/>
      <c r="K133" s="55"/>
      <c r="L133" s="55"/>
    </row>
    <row r="134" spans="9:12" s="33" customFormat="1" x14ac:dyDescent="0.25">
      <c r="I134" s="55"/>
      <c r="J134" s="55"/>
      <c r="K134" s="55"/>
      <c r="L134" s="55"/>
    </row>
    <row r="135" spans="9:12" s="33" customFormat="1" x14ac:dyDescent="0.25">
      <c r="I135" s="55"/>
      <c r="J135" s="55"/>
      <c r="K135" s="55"/>
      <c r="L135" s="55"/>
    </row>
    <row r="136" spans="9:12" s="33" customFormat="1" x14ac:dyDescent="0.25">
      <c r="I136" s="55"/>
      <c r="J136" s="55"/>
      <c r="K136" s="55"/>
      <c r="L136" s="55"/>
    </row>
    <row r="137" spans="9:12" s="33" customFormat="1" x14ac:dyDescent="0.25">
      <c r="I137" s="55"/>
      <c r="J137" s="55"/>
      <c r="K137" s="55"/>
      <c r="L137" s="55"/>
    </row>
    <row r="138" spans="9:12" s="33" customFormat="1" x14ac:dyDescent="0.25">
      <c r="I138" s="55"/>
      <c r="J138" s="55"/>
      <c r="K138" s="55"/>
      <c r="L138" s="55"/>
    </row>
    <row r="139" spans="9:12" s="33" customFormat="1" x14ac:dyDescent="0.25">
      <c r="I139" s="55"/>
      <c r="J139" s="55"/>
      <c r="K139" s="55"/>
      <c r="L139" s="55"/>
    </row>
    <row r="140" spans="9:12" s="33" customFormat="1" x14ac:dyDescent="0.25">
      <c r="I140" s="55"/>
      <c r="J140" s="55"/>
      <c r="K140" s="55"/>
      <c r="L140" s="55"/>
    </row>
    <row r="141" spans="9:12" s="33" customFormat="1" x14ac:dyDescent="0.25">
      <c r="I141" s="55"/>
      <c r="J141" s="55"/>
      <c r="K141" s="55"/>
      <c r="L141" s="55"/>
    </row>
    <row r="142" spans="9:12" s="33" customFormat="1" x14ac:dyDescent="0.25">
      <c r="I142" s="55"/>
      <c r="J142" s="55"/>
      <c r="K142" s="55"/>
      <c r="L142" s="55"/>
    </row>
    <row r="143" spans="9:12" s="33" customFormat="1" x14ac:dyDescent="0.25">
      <c r="I143" s="55"/>
      <c r="J143" s="55"/>
      <c r="K143" s="55"/>
      <c r="L143" s="55"/>
    </row>
    <row r="144" spans="9:12" s="33" customFormat="1" x14ac:dyDescent="0.25">
      <c r="I144" s="55"/>
      <c r="J144" s="55"/>
      <c r="K144" s="55"/>
      <c r="L144" s="55"/>
    </row>
    <row r="145" spans="9:12" s="33" customFormat="1" x14ac:dyDescent="0.25">
      <c r="I145" s="55"/>
      <c r="J145" s="55"/>
      <c r="K145" s="55"/>
      <c r="L145" s="55"/>
    </row>
    <row r="146" spans="9:12" s="33" customFormat="1" x14ac:dyDescent="0.25">
      <c r="I146" s="55"/>
      <c r="J146" s="55"/>
      <c r="K146" s="55"/>
      <c r="L146" s="55"/>
    </row>
    <row r="147" spans="9:12" s="33" customFormat="1" x14ac:dyDescent="0.25">
      <c r="I147" s="55"/>
      <c r="J147" s="55"/>
      <c r="K147" s="55"/>
      <c r="L147" s="55"/>
    </row>
    <row r="148" spans="9:12" s="33" customFormat="1" x14ac:dyDescent="0.25">
      <c r="I148" s="55"/>
      <c r="J148" s="55"/>
      <c r="K148" s="55"/>
      <c r="L148" s="55"/>
    </row>
    <row r="149" spans="9:12" s="33" customFormat="1" x14ac:dyDescent="0.25">
      <c r="I149" s="55"/>
      <c r="J149" s="55"/>
      <c r="K149" s="55"/>
      <c r="L149" s="55"/>
    </row>
    <row r="150" spans="9:12" s="33" customFormat="1" x14ac:dyDescent="0.25">
      <c r="I150" s="55"/>
      <c r="J150" s="55"/>
      <c r="K150" s="55"/>
      <c r="L150" s="55"/>
    </row>
    <row r="151" spans="9:12" s="33" customFormat="1" x14ac:dyDescent="0.25">
      <c r="I151" s="55"/>
      <c r="J151" s="55"/>
      <c r="K151" s="55"/>
      <c r="L151" s="55"/>
    </row>
    <row r="152" spans="9:12" s="33" customFormat="1" x14ac:dyDescent="0.25">
      <c r="I152" s="55"/>
      <c r="J152" s="55"/>
      <c r="K152" s="55"/>
      <c r="L152" s="55"/>
    </row>
    <row r="153" spans="9:12" s="33" customFormat="1" x14ac:dyDescent="0.25">
      <c r="I153" s="55"/>
      <c r="J153" s="55"/>
      <c r="K153" s="55"/>
      <c r="L153" s="55"/>
    </row>
    <row r="154" spans="9:12" s="33" customFormat="1" x14ac:dyDescent="0.25">
      <c r="I154" s="55"/>
      <c r="J154" s="55"/>
      <c r="K154" s="55"/>
      <c r="L154" s="55"/>
    </row>
    <row r="155" spans="9:12" s="33" customFormat="1" x14ac:dyDescent="0.25">
      <c r="I155" s="55"/>
      <c r="J155" s="55"/>
      <c r="K155" s="55"/>
      <c r="L155" s="55"/>
    </row>
    <row r="156" spans="9:12" s="33" customFormat="1" x14ac:dyDescent="0.25">
      <c r="I156" s="55"/>
      <c r="J156" s="55"/>
      <c r="K156" s="55"/>
      <c r="L156" s="55"/>
    </row>
    <row r="157" spans="9:12" s="33" customFormat="1" x14ac:dyDescent="0.25">
      <c r="I157" s="55"/>
      <c r="J157" s="55"/>
      <c r="K157" s="55"/>
      <c r="L157" s="55"/>
    </row>
    <row r="158" spans="9:12" s="33" customFormat="1" x14ac:dyDescent="0.25">
      <c r="I158" s="55"/>
      <c r="J158" s="55"/>
      <c r="K158" s="55"/>
      <c r="L158" s="55"/>
    </row>
    <row r="159" spans="9:12" s="33" customFormat="1" x14ac:dyDescent="0.25">
      <c r="I159" s="55"/>
      <c r="J159" s="55"/>
      <c r="K159" s="55"/>
      <c r="L159" s="55"/>
    </row>
    <row r="160" spans="9:12" s="33" customFormat="1" x14ac:dyDescent="0.25">
      <c r="I160" s="55"/>
      <c r="J160" s="55"/>
      <c r="K160" s="55"/>
      <c r="L160" s="55"/>
    </row>
    <row r="161" spans="9:12" s="33" customFormat="1" x14ac:dyDescent="0.25">
      <c r="I161" s="55"/>
      <c r="J161" s="55"/>
      <c r="K161" s="55"/>
      <c r="L161" s="55"/>
    </row>
    <row r="162" spans="9:12" s="33" customFormat="1" x14ac:dyDescent="0.25">
      <c r="I162" s="55"/>
      <c r="J162" s="55"/>
      <c r="K162" s="55"/>
      <c r="L162" s="55"/>
    </row>
    <row r="163" spans="9:12" s="33" customFormat="1" x14ac:dyDescent="0.25">
      <c r="I163" s="55"/>
      <c r="J163" s="55"/>
      <c r="K163" s="55"/>
      <c r="L163" s="55"/>
    </row>
    <row r="164" spans="9:12" s="33" customFormat="1" x14ac:dyDescent="0.25">
      <c r="I164" s="55"/>
      <c r="J164" s="55"/>
      <c r="K164" s="55"/>
      <c r="L164" s="55"/>
    </row>
    <row r="165" spans="9:12" s="33" customFormat="1" x14ac:dyDescent="0.25">
      <c r="I165" s="55"/>
      <c r="J165" s="55"/>
      <c r="K165" s="55"/>
      <c r="L165" s="55"/>
    </row>
    <row r="166" spans="9:12" s="33" customFormat="1" x14ac:dyDescent="0.25">
      <c r="I166" s="55"/>
      <c r="J166" s="55"/>
      <c r="K166" s="55"/>
      <c r="L166" s="55"/>
    </row>
    <row r="167" spans="9:12" s="33" customFormat="1" x14ac:dyDescent="0.25">
      <c r="I167" s="55"/>
      <c r="J167" s="55"/>
      <c r="K167" s="55"/>
      <c r="L167" s="55"/>
    </row>
    <row r="168" spans="9:12" s="33" customFormat="1" x14ac:dyDescent="0.25">
      <c r="I168" s="55"/>
      <c r="J168" s="55"/>
      <c r="K168" s="55"/>
      <c r="L168" s="55"/>
    </row>
    <row r="169" spans="9:12" s="33" customFormat="1" x14ac:dyDescent="0.25">
      <c r="I169" s="55"/>
      <c r="J169" s="55"/>
      <c r="K169" s="55"/>
      <c r="L169" s="55"/>
    </row>
    <row r="170" spans="9:12" s="33" customFormat="1" x14ac:dyDescent="0.25">
      <c r="I170" s="55"/>
      <c r="J170" s="55"/>
      <c r="K170" s="55"/>
      <c r="L170" s="55"/>
    </row>
    <row r="171" spans="9:12" s="33" customFormat="1" x14ac:dyDescent="0.25">
      <c r="I171" s="55"/>
      <c r="J171" s="55"/>
      <c r="K171" s="55"/>
      <c r="L171" s="55"/>
    </row>
    <row r="172" spans="9:12" s="33" customFormat="1" x14ac:dyDescent="0.25">
      <c r="I172" s="55"/>
      <c r="J172" s="55"/>
      <c r="K172" s="55"/>
      <c r="L172" s="55"/>
    </row>
    <row r="173" spans="9:12" s="33" customFormat="1" x14ac:dyDescent="0.25">
      <c r="I173" s="55"/>
      <c r="J173" s="55"/>
      <c r="K173" s="55"/>
      <c r="L173" s="55"/>
    </row>
    <row r="174" spans="9:12" s="33" customFormat="1" x14ac:dyDescent="0.25">
      <c r="I174" s="55"/>
      <c r="J174" s="55"/>
      <c r="K174" s="55"/>
      <c r="L174" s="55"/>
    </row>
    <row r="175" spans="9:12" s="33" customFormat="1" x14ac:dyDescent="0.25">
      <c r="I175" s="55"/>
      <c r="J175" s="55"/>
      <c r="K175" s="55"/>
      <c r="L175" s="55"/>
    </row>
    <row r="176" spans="9:12" s="33" customFormat="1" x14ac:dyDescent="0.25">
      <c r="I176" s="55"/>
      <c r="J176" s="55"/>
      <c r="K176" s="55"/>
      <c r="L176" s="55"/>
    </row>
    <row r="177" spans="9:12" s="33" customFormat="1" x14ac:dyDescent="0.25">
      <c r="I177" s="55"/>
      <c r="J177" s="55"/>
      <c r="K177" s="55"/>
      <c r="L177" s="55"/>
    </row>
    <row r="178" spans="9:12" s="33" customFormat="1" x14ac:dyDescent="0.25">
      <c r="I178" s="55"/>
      <c r="J178" s="55"/>
      <c r="K178" s="55"/>
      <c r="L178" s="55"/>
    </row>
    <row r="179" spans="9:12" s="33" customFormat="1" x14ac:dyDescent="0.25">
      <c r="I179" s="55"/>
      <c r="J179" s="55"/>
      <c r="K179" s="55"/>
      <c r="L179" s="55"/>
    </row>
    <row r="180" spans="9:12" s="33" customFormat="1" x14ac:dyDescent="0.25">
      <c r="I180" s="55"/>
      <c r="J180" s="55"/>
      <c r="K180" s="55"/>
      <c r="L180" s="55"/>
    </row>
    <row r="181" spans="9:12" s="33" customFormat="1" x14ac:dyDescent="0.25">
      <c r="I181" s="55"/>
      <c r="J181" s="55"/>
      <c r="K181" s="55"/>
      <c r="L181" s="55"/>
    </row>
    <row r="182" spans="9:12" s="33" customFormat="1" x14ac:dyDescent="0.25">
      <c r="I182" s="55"/>
      <c r="J182" s="55"/>
      <c r="K182" s="55"/>
      <c r="L182" s="55"/>
    </row>
    <row r="183" spans="9:12" s="33" customFormat="1" x14ac:dyDescent="0.25">
      <c r="I183" s="55"/>
      <c r="J183" s="55"/>
      <c r="K183" s="55"/>
      <c r="L183" s="55"/>
    </row>
    <row r="184" spans="9:12" s="33" customFormat="1" x14ac:dyDescent="0.25">
      <c r="I184" s="55"/>
      <c r="J184" s="55"/>
      <c r="K184" s="55"/>
      <c r="L184" s="55"/>
    </row>
    <row r="185" spans="9:12" s="33" customFormat="1" x14ac:dyDescent="0.25">
      <c r="I185" s="55"/>
      <c r="J185" s="55"/>
      <c r="K185" s="55"/>
      <c r="L185" s="55"/>
    </row>
    <row r="186" spans="9:12" s="33" customFormat="1" x14ac:dyDescent="0.25">
      <c r="I186" s="55"/>
      <c r="J186" s="55"/>
      <c r="K186" s="55"/>
      <c r="L186" s="55"/>
    </row>
    <row r="187" spans="9:12" s="33" customFormat="1" x14ac:dyDescent="0.25">
      <c r="I187" s="55"/>
      <c r="J187" s="55"/>
      <c r="K187" s="55"/>
      <c r="L187" s="55"/>
    </row>
    <row r="188" spans="9:12" s="33" customFormat="1" x14ac:dyDescent="0.25">
      <c r="I188" s="55"/>
      <c r="J188" s="55"/>
      <c r="K188" s="55"/>
      <c r="L188" s="55"/>
    </row>
    <row r="189" spans="9:12" s="33" customFormat="1" x14ac:dyDescent="0.25">
      <c r="I189" s="55"/>
      <c r="J189" s="55"/>
      <c r="K189" s="55"/>
      <c r="L189" s="55"/>
    </row>
    <row r="190" spans="9:12" s="33" customFormat="1" x14ac:dyDescent="0.25">
      <c r="I190" s="55"/>
      <c r="J190" s="55"/>
      <c r="K190" s="55"/>
      <c r="L190" s="55"/>
    </row>
    <row r="191" spans="9:12" s="33" customFormat="1" x14ac:dyDescent="0.25">
      <c r="I191" s="55"/>
      <c r="J191" s="55"/>
      <c r="K191" s="55"/>
      <c r="L191" s="55"/>
    </row>
    <row r="192" spans="9:12" s="33" customFormat="1" x14ac:dyDescent="0.25">
      <c r="I192" s="55"/>
      <c r="J192" s="55"/>
      <c r="K192" s="55"/>
      <c r="L192" s="55"/>
    </row>
    <row r="193" spans="9:12" s="33" customFormat="1" x14ac:dyDescent="0.25">
      <c r="I193" s="55"/>
      <c r="J193" s="55"/>
      <c r="K193" s="55"/>
      <c r="L193" s="55"/>
    </row>
    <row r="194" spans="9:12" s="33" customFormat="1" x14ac:dyDescent="0.25">
      <c r="I194" s="55"/>
      <c r="J194" s="55"/>
      <c r="K194" s="55"/>
      <c r="L194" s="55"/>
    </row>
    <row r="195" spans="9:12" s="33" customFormat="1" x14ac:dyDescent="0.25">
      <c r="I195" s="55"/>
      <c r="J195" s="55"/>
      <c r="K195" s="55"/>
      <c r="L195" s="55"/>
    </row>
    <row r="196" spans="9:12" s="33" customFormat="1" x14ac:dyDescent="0.25">
      <c r="I196" s="55"/>
      <c r="J196" s="55"/>
      <c r="K196" s="55"/>
      <c r="L196" s="55"/>
    </row>
    <row r="197" spans="9:12" s="33" customFormat="1" x14ac:dyDescent="0.25">
      <c r="I197" s="55"/>
      <c r="J197" s="55"/>
      <c r="K197" s="55"/>
      <c r="L197" s="55"/>
    </row>
    <row r="198" spans="9:12" s="33" customFormat="1" x14ac:dyDescent="0.25">
      <c r="I198" s="55"/>
      <c r="J198" s="55"/>
      <c r="K198" s="55"/>
      <c r="L198" s="55"/>
    </row>
    <row r="199" spans="9:12" s="33" customFormat="1" x14ac:dyDescent="0.25">
      <c r="I199" s="55"/>
      <c r="J199" s="55"/>
      <c r="K199" s="55"/>
      <c r="L199" s="55"/>
    </row>
    <row r="200" spans="9:12" s="33" customFormat="1" x14ac:dyDescent="0.25">
      <c r="I200" s="55"/>
      <c r="J200" s="55"/>
      <c r="K200" s="55"/>
      <c r="L200" s="55"/>
    </row>
    <row r="201" spans="9:12" s="33" customFormat="1" x14ac:dyDescent="0.25">
      <c r="I201" s="55"/>
      <c r="J201" s="55"/>
      <c r="K201" s="55"/>
      <c r="L201" s="55"/>
    </row>
    <row r="202" spans="9:12" s="33" customFormat="1" x14ac:dyDescent="0.25">
      <c r="I202" s="55"/>
      <c r="J202" s="55"/>
      <c r="K202" s="55"/>
      <c r="L202" s="55"/>
    </row>
    <row r="203" spans="9:12" s="33" customFormat="1" x14ac:dyDescent="0.25">
      <c r="I203" s="55"/>
      <c r="J203" s="55"/>
      <c r="K203" s="55"/>
      <c r="L203" s="55"/>
    </row>
    <row r="204" spans="9:12" s="33" customFormat="1" x14ac:dyDescent="0.25">
      <c r="I204" s="55"/>
      <c r="J204" s="55"/>
      <c r="K204" s="55"/>
      <c r="L204" s="55"/>
    </row>
    <row r="205" spans="9:12" s="33" customFormat="1" x14ac:dyDescent="0.25">
      <c r="I205" s="55"/>
      <c r="J205" s="55"/>
      <c r="K205" s="55"/>
      <c r="L205" s="55"/>
    </row>
    <row r="206" spans="9:12" s="33" customFormat="1" x14ac:dyDescent="0.25">
      <c r="I206" s="55"/>
      <c r="J206" s="55"/>
      <c r="K206" s="55"/>
      <c r="L206" s="55"/>
    </row>
    <row r="207" spans="9:12" s="33" customFormat="1" x14ac:dyDescent="0.25">
      <c r="I207" s="55"/>
      <c r="J207" s="55"/>
      <c r="K207" s="55"/>
      <c r="L207" s="55"/>
    </row>
    <row r="208" spans="9:12" s="33" customFormat="1" x14ac:dyDescent="0.25">
      <c r="I208" s="55"/>
      <c r="J208" s="55"/>
      <c r="K208" s="55"/>
      <c r="L208" s="55"/>
    </row>
    <row r="209" spans="9:12" s="33" customFormat="1" x14ac:dyDescent="0.25">
      <c r="I209" s="55"/>
      <c r="J209" s="55"/>
      <c r="K209" s="55"/>
      <c r="L209" s="55"/>
    </row>
    <row r="210" spans="9:12" s="33" customFormat="1" x14ac:dyDescent="0.25">
      <c r="I210" s="55"/>
      <c r="J210" s="55"/>
      <c r="K210" s="55"/>
      <c r="L210" s="55"/>
    </row>
    <row r="211" spans="9:12" s="33" customFormat="1" x14ac:dyDescent="0.25">
      <c r="I211" s="55"/>
      <c r="J211" s="55"/>
      <c r="K211" s="55"/>
      <c r="L211" s="55"/>
    </row>
    <row r="212" spans="9:12" s="33" customFormat="1" x14ac:dyDescent="0.25">
      <c r="I212" s="55"/>
      <c r="J212" s="55"/>
      <c r="K212" s="55"/>
      <c r="L212" s="55"/>
    </row>
    <row r="213" spans="9:12" s="33" customFormat="1" x14ac:dyDescent="0.25">
      <c r="I213" s="55"/>
      <c r="J213" s="55"/>
      <c r="K213" s="55"/>
      <c r="L213" s="55"/>
    </row>
    <row r="214" spans="9:12" s="33" customFormat="1" x14ac:dyDescent="0.25">
      <c r="I214" s="55"/>
      <c r="J214" s="55"/>
      <c r="K214" s="55"/>
      <c r="L214" s="55"/>
    </row>
    <row r="215" spans="9:12" s="33" customFormat="1" x14ac:dyDescent="0.25">
      <c r="I215" s="55"/>
      <c r="J215" s="55"/>
      <c r="K215" s="55"/>
      <c r="L215" s="55"/>
    </row>
    <row r="216" spans="9:12" s="33" customFormat="1" x14ac:dyDescent="0.25">
      <c r="I216" s="55"/>
      <c r="J216" s="55"/>
      <c r="K216" s="55"/>
      <c r="L216" s="55"/>
    </row>
    <row r="217" spans="9:12" s="33" customFormat="1" x14ac:dyDescent="0.25">
      <c r="I217" s="55"/>
      <c r="J217" s="55"/>
      <c r="K217" s="55"/>
      <c r="L217" s="55"/>
    </row>
    <row r="218" spans="9:12" s="33" customFormat="1" x14ac:dyDescent="0.25">
      <c r="I218" s="55"/>
      <c r="J218" s="55"/>
      <c r="K218" s="55"/>
      <c r="L218" s="55"/>
    </row>
    <row r="219" spans="9:12" s="33" customFormat="1" x14ac:dyDescent="0.25">
      <c r="I219" s="55"/>
      <c r="J219" s="55"/>
      <c r="K219" s="55"/>
      <c r="L219" s="55"/>
    </row>
    <row r="220" spans="9:12" s="33" customFormat="1" x14ac:dyDescent="0.25">
      <c r="I220" s="55"/>
      <c r="J220" s="55"/>
      <c r="K220" s="55"/>
      <c r="L220" s="55"/>
    </row>
    <row r="221" spans="9:12" s="33" customFormat="1" x14ac:dyDescent="0.25">
      <c r="I221" s="55"/>
      <c r="J221" s="55"/>
      <c r="K221" s="55"/>
      <c r="L221" s="55"/>
    </row>
    <row r="222" spans="9:12" s="33" customFormat="1" x14ac:dyDescent="0.25">
      <c r="I222" s="55"/>
      <c r="J222" s="55"/>
      <c r="K222" s="55"/>
      <c r="L222" s="55"/>
    </row>
    <row r="223" spans="9:12" s="33" customFormat="1" x14ac:dyDescent="0.25">
      <c r="I223" s="55"/>
      <c r="J223" s="55"/>
      <c r="K223" s="55"/>
      <c r="L223" s="55"/>
    </row>
    <row r="224" spans="9:12" s="33" customFormat="1" x14ac:dyDescent="0.25">
      <c r="I224" s="55"/>
      <c r="J224" s="55"/>
      <c r="K224" s="55"/>
      <c r="L224" s="55"/>
    </row>
    <row r="225" spans="9:12" s="33" customFormat="1" x14ac:dyDescent="0.25">
      <c r="I225" s="55"/>
      <c r="J225" s="55"/>
      <c r="K225" s="55"/>
      <c r="L225" s="55"/>
    </row>
    <row r="226" spans="9:12" s="33" customFormat="1" x14ac:dyDescent="0.25">
      <c r="I226" s="55"/>
      <c r="J226" s="55"/>
      <c r="K226" s="55"/>
      <c r="L226" s="55"/>
    </row>
    <row r="227" spans="9:12" s="33" customFormat="1" x14ac:dyDescent="0.25">
      <c r="I227" s="55"/>
      <c r="J227" s="55"/>
      <c r="K227" s="55"/>
      <c r="L227" s="55"/>
    </row>
    <row r="228" spans="9:12" s="33" customFormat="1" x14ac:dyDescent="0.25">
      <c r="I228" s="55"/>
      <c r="J228" s="55"/>
      <c r="K228" s="55"/>
      <c r="L228" s="55"/>
    </row>
    <row r="229" spans="9:12" s="33" customFormat="1" x14ac:dyDescent="0.25">
      <c r="I229" s="55"/>
      <c r="J229" s="55"/>
      <c r="K229" s="55"/>
      <c r="L229" s="55"/>
    </row>
    <row r="230" spans="9:12" s="33" customFormat="1" x14ac:dyDescent="0.25">
      <c r="I230" s="55"/>
      <c r="J230" s="55"/>
      <c r="K230" s="55"/>
      <c r="L230" s="55"/>
    </row>
    <row r="231" spans="9:12" s="33" customFormat="1" x14ac:dyDescent="0.25">
      <c r="I231" s="55"/>
      <c r="J231" s="55"/>
      <c r="K231" s="55"/>
      <c r="L231" s="55"/>
    </row>
    <row r="232" spans="9:12" s="33" customFormat="1" x14ac:dyDescent="0.25">
      <c r="I232" s="55"/>
      <c r="J232" s="55"/>
      <c r="K232" s="55"/>
      <c r="L232" s="55"/>
    </row>
    <row r="233" spans="9:12" s="33" customFormat="1" x14ac:dyDescent="0.25">
      <c r="I233" s="55"/>
      <c r="J233" s="55"/>
      <c r="K233" s="55"/>
      <c r="L233" s="55"/>
    </row>
    <row r="234" spans="9:12" s="33" customFormat="1" x14ac:dyDescent="0.25">
      <c r="I234" s="55"/>
      <c r="J234" s="55"/>
      <c r="K234" s="55"/>
      <c r="L234" s="55"/>
    </row>
    <row r="235" spans="9:12" s="33" customFormat="1" x14ac:dyDescent="0.25">
      <c r="I235" s="55"/>
      <c r="J235" s="55"/>
      <c r="K235" s="55"/>
      <c r="L235" s="55"/>
    </row>
    <row r="236" spans="9:12" s="33" customFormat="1" x14ac:dyDescent="0.25">
      <c r="I236" s="55"/>
      <c r="J236" s="55"/>
      <c r="K236" s="55"/>
      <c r="L236" s="55"/>
    </row>
    <row r="237" spans="9:12" s="33" customFormat="1" x14ac:dyDescent="0.25">
      <c r="I237" s="55"/>
      <c r="J237" s="55"/>
      <c r="K237" s="55"/>
      <c r="L237" s="55"/>
    </row>
    <row r="238" spans="9:12" s="33" customFormat="1" x14ac:dyDescent="0.25">
      <c r="I238" s="55"/>
      <c r="J238" s="55"/>
      <c r="K238" s="55"/>
      <c r="L238" s="55"/>
    </row>
    <row r="239" spans="9:12" s="33" customFormat="1" x14ac:dyDescent="0.25">
      <c r="I239" s="55"/>
      <c r="J239" s="55"/>
      <c r="K239" s="55"/>
      <c r="L239" s="55"/>
    </row>
    <row r="240" spans="9:12" s="33" customFormat="1" x14ac:dyDescent="0.25">
      <c r="I240" s="55"/>
      <c r="J240" s="55"/>
      <c r="K240" s="55"/>
      <c r="L240" s="55"/>
    </row>
    <row r="241" spans="9:12" s="33" customFormat="1" x14ac:dyDescent="0.25">
      <c r="I241" s="55"/>
      <c r="J241" s="55"/>
      <c r="K241" s="55"/>
      <c r="L241" s="55"/>
    </row>
    <row r="242" spans="9:12" s="33" customFormat="1" x14ac:dyDescent="0.25">
      <c r="I242" s="55"/>
      <c r="J242" s="55"/>
      <c r="K242" s="55"/>
      <c r="L242" s="55"/>
    </row>
    <row r="243" spans="9:12" s="33" customFormat="1" x14ac:dyDescent="0.25">
      <c r="I243" s="55"/>
      <c r="J243" s="55"/>
      <c r="K243" s="55"/>
      <c r="L243" s="55"/>
    </row>
    <row r="244" spans="9:12" s="33" customFormat="1" x14ac:dyDescent="0.25">
      <c r="I244" s="55"/>
      <c r="J244" s="55"/>
      <c r="K244" s="55"/>
      <c r="L244" s="55"/>
    </row>
    <row r="245" spans="9:12" s="33" customFormat="1" x14ac:dyDescent="0.25">
      <c r="I245" s="55"/>
      <c r="J245" s="55"/>
      <c r="K245" s="55"/>
      <c r="L245" s="55"/>
    </row>
    <row r="246" spans="9:12" s="33" customFormat="1" x14ac:dyDescent="0.25">
      <c r="I246" s="55"/>
      <c r="J246" s="55"/>
      <c r="K246" s="55"/>
      <c r="L246" s="55"/>
    </row>
    <row r="247" spans="9:12" s="33" customFormat="1" x14ac:dyDescent="0.25">
      <c r="I247" s="55"/>
      <c r="J247" s="55"/>
      <c r="K247" s="55"/>
      <c r="L247" s="55"/>
    </row>
    <row r="248" spans="9:12" s="33" customFormat="1" x14ac:dyDescent="0.25">
      <c r="I248" s="55"/>
      <c r="J248" s="55"/>
      <c r="K248" s="55"/>
      <c r="L248" s="55"/>
    </row>
    <row r="249" spans="9:12" s="33" customFormat="1" x14ac:dyDescent="0.25">
      <c r="I249" s="55"/>
      <c r="J249" s="55"/>
      <c r="K249" s="55"/>
      <c r="L249" s="55"/>
    </row>
    <row r="250" spans="9:12" s="33" customFormat="1" x14ac:dyDescent="0.25">
      <c r="I250" s="55"/>
      <c r="J250" s="55"/>
      <c r="K250" s="55"/>
      <c r="L250" s="55"/>
    </row>
    <row r="251" spans="9:12" s="33" customFormat="1" x14ac:dyDescent="0.25">
      <c r="I251" s="55"/>
      <c r="J251" s="55"/>
      <c r="K251" s="55"/>
      <c r="L251" s="55"/>
    </row>
    <row r="252" spans="9:12" s="33" customFormat="1" x14ac:dyDescent="0.25">
      <c r="I252" s="55"/>
      <c r="J252" s="55"/>
      <c r="K252" s="55"/>
      <c r="L252" s="55"/>
    </row>
    <row r="253" spans="9:12" s="33" customFormat="1" x14ac:dyDescent="0.25">
      <c r="I253" s="55"/>
      <c r="J253" s="55"/>
      <c r="K253" s="55"/>
      <c r="L253" s="55"/>
    </row>
    <row r="254" spans="9:12" s="33" customFormat="1" x14ac:dyDescent="0.25">
      <c r="I254" s="55"/>
      <c r="J254" s="55"/>
      <c r="K254" s="55"/>
      <c r="L254" s="55"/>
    </row>
    <row r="255" spans="9:12" s="33" customFormat="1" x14ac:dyDescent="0.25">
      <c r="I255" s="55"/>
      <c r="J255" s="55"/>
      <c r="K255" s="55"/>
      <c r="L255" s="55"/>
    </row>
    <row r="256" spans="9:12" s="33" customFormat="1" x14ac:dyDescent="0.25">
      <c r="I256" s="55"/>
      <c r="J256" s="55"/>
      <c r="K256" s="55"/>
      <c r="L256" s="55"/>
    </row>
    <row r="257" spans="9:12" s="33" customFormat="1" x14ac:dyDescent="0.25">
      <c r="I257" s="55"/>
      <c r="J257" s="55"/>
      <c r="K257" s="55"/>
      <c r="L257" s="55"/>
    </row>
    <row r="258" spans="9:12" s="33" customFormat="1" x14ac:dyDescent="0.25">
      <c r="I258" s="55"/>
      <c r="J258" s="55"/>
      <c r="K258" s="55"/>
      <c r="L258" s="55"/>
    </row>
    <row r="259" spans="9:12" s="33" customFormat="1" x14ac:dyDescent="0.25">
      <c r="I259" s="55"/>
      <c r="J259" s="55"/>
      <c r="K259" s="55"/>
      <c r="L259" s="55"/>
    </row>
    <row r="260" spans="9:12" s="33" customFormat="1" x14ac:dyDescent="0.25">
      <c r="I260" s="55"/>
      <c r="J260" s="55"/>
      <c r="K260" s="55"/>
      <c r="L260" s="55"/>
    </row>
    <row r="261" spans="9:12" s="33" customFormat="1" x14ac:dyDescent="0.25">
      <c r="I261" s="55"/>
      <c r="J261" s="55"/>
      <c r="K261" s="55"/>
      <c r="L261" s="55"/>
    </row>
    <row r="262" spans="9:12" s="33" customFormat="1" x14ac:dyDescent="0.25">
      <c r="I262" s="55"/>
      <c r="J262" s="55"/>
      <c r="K262" s="55"/>
      <c r="L262" s="55"/>
    </row>
    <row r="263" spans="9:12" s="33" customFormat="1" x14ac:dyDescent="0.25">
      <c r="I263" s="55"/>
      <c r="J263" s="55"/>
      <c r="K263" s="55"/>
      <c r="L263" s="55"/>
    </row>
    <row r="264" spans="9:12" s="33" customFormat="1" x14ac:dyDescent="0.25">
      <c r="I264" s="55"/>
      <c r="J264" s="55"/>
      <c r="K264" s="55"/>
      <c r="L264" s="55"/>
    </row>
    <row r="265" spans="9:12" s="33" customFormat="1" x14ac:dyDescent="0.25">
      <c r="I265" s="55"/>
      <c r="J265" s="55"/>
      <c r="K265" s="55"/>
      <c r="L265" s="55"/>
    </row>
    <row r="266" spans="9:12" s="33" customFormat="1" x14ac:dyDescent="0.25">
      <c r="I266" s="55"/>
      <c r="J266" s="55"/>
      <c r="K266" s="55"/>
      <c r="L266" s="55"/>
    </row>
    <row r="267" spans="9:12" s="33" customFormat="1" x14ac:dyDescent="0.25">
      <c r="I267" s="55"/>
      <c r="J267" s="55"/>
      <c r="K267" s="55"/>
      <c r="L267" s="55"/>
    </row>
    <row r="268" spans="9:12" s="33" customFormat="1" x14ac:dyDescent="0.25">
      <c r="I268" s="55"/>
      <c r="J268" s="55"/>
      <c r="K268" s="55"/>
      <c r="L268" s="55"/>
    </row>
    <row r="269" spans="9:12" s="33" customFormat="1" x14ac:dyDescent="0.25">
      <c r="I269" s="55"/>
      <c r="J269" s="55"/>
      <c r="K269" s="55"/>
      <c r="L269" s="55"/>
    </row>
    <row r="270" spans="9:12" s="33" customFormat="1" x14ac:dyDescent="0.25">
      <c r="I270" s="55"/>
      <c r="J270" s="55"/>
      <c r="K270" s="55"/>
      <c r="L270" s="55"/>
    </row>
    <row r="271" spans="9:12" s="33" customFormat="1" x14ac:dyDescent="0.25">
      <c r="I271" s="55"/>
      <c r="J271" s="55"/>
      <c r="K271" s="55"/>
      <c r="L271" s="55"/>
    </row>
    <row r="272" spans="9:12" s="33" customFormat="1" x14ac:dyDescent="0.25">
      <c r="I272" s="55"/>
      <c r="J272" s="55"/>
      <c r="K272" s="55"/>
      <c r="L272" s="55"/>
    </row>
    <row r="273" spans="9:12" s="33" customFormat="1" x14ac:dyDescent="0.25">
      <c r="I273" s="55"/>
      <c r="J273" s="55"/>
      <c r="K273" s="55"/>
      <c r="L273" s="55"/>
    </row>
    <row r="274" spans="9:12" s="33" customFormat="1" x14ac:dyDescent="0.25">
      <c r="I274" s="55"/>
      <c r="J274" s="55"/>
      <c r="K274" s="55"/>
      <c r="L274" s="55"/>
    </row>
    <row r="275" spans="9:12" s="33" customFormat="1" x14ac:dyDescent="0.25">
      <c r="I275" s="55"/>
      <c r="J275" s="55"/>
      <c r="K275" s="55"/>
      <c r="L275" s="55"/>
    </row>
    <row r="276" spans="9:12" s="33" customFormat="1" x14ac:dyDescent="0.25">
      <c r="I276" s="55"/>
      <c r="J276" s="55"/>
      <c r="K276" s="55"/>
      <c r="L276" s="55"/>
    </row>
    <row r="277" spans="9:12" s="33" customFormat="1" x14ac:dyDescent="0.25">
      <c r="I277" s="55"/>
      <c r="J277" s="55"/>
      <c r="K277" s="55"/>
      <c r="L277" s="55"/>
    </row>
    <row r="278" spans="9:12" s="33" customFormat="1" x14ac:dyDescent="0.25">
      <c r="I278" s="55"/>
      <c r="J278" s="55"/>
      <c r="K278" s="55"/>
      <c r="L278" s="55"/>
    </row>
    <row r="279" spans="9:12" s="33" customFormat="1" x14ac:dyDescent="0.25">
      <c r="I279" s="55"/>
      <c r="J279" s="55"/>
      <c r="K279" s="55"/>
      <c r="L279" s="55"/>
    </row>
    <row r="280" spans="9:12" s="33" customFormat="1" x14ac:dyDescent="0.25">
      <c r="I280" s="55"/>
      <c r="J280" s="55"/>
      <c r="K280" s="55"/>
      <c r="L280" s="55"/>
    </row>
    <row r="281" spans="9:12" s="33" customFormat="1" x14ac:dyDescent="0.25">
      <c r="I281" s="55"/>
      <c r="J281" s="55"/>
      <c r="K281" s="55"/>
      <c r="L281" s="55"/>
    </row>
    <row r="282" spans="9:12" s="33" customFormat="1" x14ac:dyDescent="0.25">
      <c r="I282" s="55"/>
      <c r="J282" s="55"/>
      <c r="K282" s="55"/>
      <c r="L282" s="55"/>
    </row>
    <row r="283" spans="9:12" s="33" customFormat="1" x14ac:dyDescent="0.25">
      <c r="I283" s="55"/>
      <c r="J283" s="55"/>
      <c r="K283" s="55"/>
      <c r="L283" s="55"/>
    </row>
    <row r="284" spans="9:12" s="33" customFormat="1" x14ac:dyDescent="0.25">
      <c r="I284" s="55"/>
      <c r="J284" s="55"/>
      <c r="K284" s="55"/>
      <c r="L284" s="55"/>
    </row>
    <row r="285" spans="9:12" s="33" customFormat="1" x14ac:dyDescent="0.25">
      <c r="I285" s="55"/>
      <c r="J285" s="55"/>
      <c r="K285" s="55"/>
      <c r="L285" s="55"/>
    </row>
    <row r="286" spans="9:12" s="33" customFormat="1" x14ac:dyDescent="0.25">
      <c r="I286" s="55"/>
      <c r="J286" s="55"/>
      <c r="K286" s="55"/>
      <c r="L286" s="55"/>
    </row>
    <row r="287" spans="9:12" s="33" customFormat="1" x14ac:dyDescent="0.25">
      <c r="I287" s="55"/>
      <c r="J287" s="55"/>
      <c r="K287" s="55"/>
      <c r="L287" s="55"/>
    </row>
    <row r="288" spans="9:12" s="33" customFormat="1" x14ac:dyDescent="0.25">
      <c r="I288" s="55"/>
      <c r="J288" s="55"/>
      <c r="K288" s="55"/>
      <c r="L288" s="55"/>
    </row>
    <row r="289" spans="9:12" s="33" customFormat="1" x14ac:dyDescent="0.25">
      <c r="I289" s="55"/>
      <c r="J289" s="55"/>
      <c r="K289" s="55"/>
      <c r="L289" s="55"/>
    </row>
    <row r="290" spans="9:12" s="33" customFormat="1" x14ac:dyDescent="0.25">
      <c r="I290" s="55"/>
      <c r="J290" s="55"/>
      <c r="K290" s="55"/>
      <c r="L290" s="55"/>
    </row>
    <row r="291" spans="9:12" s="33" customFormat="1" x14ac:dyDescent="0.25">
      <c r="I291" s="55"/>
      <c r="J291" s="55"/>
      <c r="K291" s="55"/>
      <c r="L291" s="55"/>
    </row>
    <row r="292" spans="9:12" s="33" customFormat="1" x14ac:dyDescent="0.25">
      <c r="I292" s="55"/>
      <c r="J292" s="55"/>
      <c r="K292" s="55"/>
      <c r="L292" s="55"/>
    </row>
    <row r="293" spans="9:12" s="33" customFormat="1" x14ac:dyDescent="0.25">
      <c r="I293" s="55"/>
      <c r="J293" s="55"/>
      <c r="K293" s="55"/>
      <c r="L293" s="55"/>
    </row>
    <row r="294" spans="9:12" s="33" customFormat="1" x14ac:dyDescent="0.25">
      <c r="I294" s="55"/>
      <c r="J294" s="55"/>
      <c r="K294" s="55"/>
      <c r="L294" s="55"/>
    </row>
    <row r="295" spans="9:12" s="33" customFormat="1" x14ac:dyDescent="0.25">
      <c r="I295" s="55"/>
      <c r="J295" s="55"/>
      <c r="K295" s="55"/>
      <c r="L295" s="55"/>
    </row>
    <row r="296" spans="9:12" s="33" customFormat="1" x14ac:dyDescent="0.25">
      <c r="I296" s="55"/>
      <c r="J296" s="55"/>
      <c r="K296" s="55"/>
      <c r="L296" s="55"/>
    </row>
    <row r="297" spans="9:12" s="33" customFormat="1" x14ac:dyDescent="0.25">
      <c r="I297" s="55"/>
      <c r="J297" s="55"/>
      <c r="K297" s="55"/>
      <c r="L297" s="55"/>
    </row>
    <row r="298" spans="9:12" s="33" customFormat="1" x14ac:dyDescent="0.25">
      <c r="I298" s="55"/>
      <c r="J298" s="55"/>
      <c r="K298" s="55"/>
      <c r="L298" s="55"/>
    </row>
    <row r="299" spans="9:12" s="33" customFormat="1" x14ac:dyDescent="0.25">
      <c r="I299" s="55"/>
      <c r="J299" s="55"/>
      <c r="K299" s="55"/>
      <c r="L299" s="55"/>
    </row>
    <row r="300" spans="9:12" s="33" customFormat="1" x14ac:dyDescent="0.25">
      <c r="I300" s="55"/>
      <c r="J300" s="55"/>
      <c r="K300" s="55"/>
      <c r="L300" s="55"/>
    </row>
    <row r="301" spans="9:12" s="33" customFormat="1" x14ac:dyDescent="0.25">
      <c r="I301" s="55"/>
      <c r="J301" s="55"/>
      <c r="K301" s="55"/>
      <c r="L301" s="55"/>
    </row>
    <row r="302" spans="9:12" s="33" customFormat="1" x14ac:dyDescent="0.25">
      <c r="I302" s="55"/>
      <c r="J302" s="55"/>
      <c r="K302" s="55"/>
      <c r="L302" s="55"/>
    </row>
    <row r="303" spans="9:12" s="33" customFormat="1" x14ac:dyDescent="0.25">
      <c r="I303" s="55"/>
      <c r="J303" s="55"/>
      <c r="K303" s="55"/>
      <c r="L303" s="55"/>
    </row>
    <row r="304" spans="9:12" s="33" customFormat="1" x14ac:dyDescent="0.25">
      <c r="I304" s="55"/>
      <c r="J304" s="55"/>
      <c r="K304" s="55"/>
      <c r="L304" s="55"/>
    </row>
    <row r="305" spans="9:12" s="33" customFormat="1" x14ac:dyDescent="0.25">
      <c r="I305" s="55"/>
      <c r="J305" s="55"/>
      <c r="K305" s="55"/>
      <c r="L305" s="55"/>
    </row>
    <row r="306" spans="9:12" s="33" customFormat="1" x14ac:dyDescent="0.25">
      <c r="I306" s="55"/>
      <c r="J306" s="55"/>
      <c r="K306" s="55"/>
      <c r="L306" s="55"/>
    </row>
    <row r="307" spans="9:12" s="33" customFormat="1" x14ac:dyDescent="0.25">
      <c r="I307" s="55"/>
      <c r="J307" s="55"/>
      <c r="K307" s="55"/>
      <c r="L307" s="55"/>
    </row>
    <row r="308" spans="9:12" s="33" customFormat="1" x14ac:dyDescent="0.25">
      <c r="I308" s="55"/>
      <c r="J308" s="55"/>
      <c r="K308" s="55"/>
      <c r="L308" s="55"/>
    </row>
    <row r="309" spans="9:12" s="33" customFormat="1" x14ac:dyDescent="0.25">
      <c r="I309" s="55"/>
      <c r="J309" s="55"/>
      <c r="K309" s="55"/>
      <c r="L309" s="55"/>
    </row>
    <row r="310" spans="9:12" s="33" customFormat="1" x14ac:dyDescent="0.25">
      <c r="I310" s="55"/>
      <c r="J310" s="55"/>
      <c r="K310" s="55"/>
      <c r="L310" s="55"/>
    </row>
    <row r="311" spans="9:12" s="33" customFormat="1" x14ac:dyDescent="0.25">
      <c r="I311" s="55"/>
      <c r="J311" s="55"/>
      <c r="K311" s="55"/>
      <c r="L311" s="55"/>
    </row>
    <row r="312" spans="9:12" s="33" customFormat="1" x14ac:dyDescent="0.25">
      <c r="I312" s="55"/>
      <c r="J312" s="55"/>
      <c r="K312" s="55"/>
      <c r="L312" s="55"/>
    </row>
    <row r="313" spans="9:12" s="33" customFormat="1" x14ac:dyDescent="0.25">
      <c r="I313" s="55"/>
      <c r="J313" s="55"/>
      <c r="K313" s="55"/>
      <c r="L313" s="55"/>
    </row>
    <row r="314" spans="9:12" s="33" customFormat="1" x14ac:dyDescent="0.25">
      <c r="I314" s="55"/>
      <c r="J314" s="55"/>
      <c r="K314" s="55"/>
      <c r="L314" s="55"/>
    </row>
    <row r="315" spans="9:12" s="33" customFormat="1" x14ac:dyDescent="0.25">
      <c r="I315" s="55"/>
      <c r="J315" s="55"/>
      <c r="K315" s="55"/>
      <c r="L315" s="55"/>
    </row>
    <row r="316" spans="9:12" s="33" customFormat="1" x14ac:dyDescent="0.25">
      <c r="I316" s="55"/>
      <c r="J316" s="55"/>
      <c r="K316" s="55"/>
      <c r="L316" s="55"/>
    </row>
    <row r="317" spans="9:12" s="33" customFormat="1" x14ac:dyDescent="0.25">
      <c r="I317" s="55"/>
      <c r="J317" s="55"/>
      <c r="K317" s="55"/>
      <c r="L317" s="55"/>
    </row>
    <row r="318" spans="9:12" s="33" customFormat="1" x14ac:dyDescent="0.25">
      <c r="I318" s="55"/>
      <c r="J318" s="55"/>
      <c r="K318" s="55"/>
      <c r="L318" s="55"/>
    </row>
    <row r="319" spans="9:12" s="33" customFormat="1" x14ac:dyDescent="0.25">
      <c r="I319" s="55"/>
      <c r="J319" s="55"/>
      <c r="K319" s="55"/>
      <c r="L319" s="55"/>
    </row>
    <row r="320" spans="9:12" s="33" customFormat="1" x14ac:dyDescent="0.25">
      <c r="I320" s="55"/>
      <c r="J320" s="55"/>
      <c r="K320" s="55"/>
      <c r="L320" s="55"/>
    </row>
    <row r="321" spans="9:12" s="33" customFormat="1" x14ac:dyDescent="0.25">
      <c r="I321" s="55"/>
      <c r="J321" s="55"/>
      <c r="K321" s="55"/>
      <c r="L321" s="55"/>
    </row>
    <row r="322" spans="9:12" s="33" customFormat="1" x14ac:dyDescent="0.25">
      <c r="I322" s="55"/>
      <c r="J322" s="55"/>
      <c r="K322" s="55"/>
      <c r="L322" s="55"/>
    </row>
    <row r="323" spans="9:12" s="33" customFormat="1" x14ac:dyDescent="0.25">
      <c r="I323" s="55"/>
      <c r="J323" s="55"/>
      <c r="K323" s="55"/>
      <c r="L323" s="55"/>
    </row>
    <row r="324" spans="9:12" s="33" customFormat="1" x14ac:dyDescent="0.25">
      <c r="I324" s="55"/>
      <c r="J324" s="55"/>
      <c r="K324" s="55"/>
      <c r="L324" s="55"/>
    </row>
    <row r="325" spans="9:12" s="33" customFormat="1" x14ac:dyDescent="0.25">
      <c r="I325" s="55"/>
      <c r="J325" s="55"/>
      <c r="K325" s="55"/>
      <c r="L325" s="55"/>
    </row>
    <row r="326" spans="9:12" s="33" customFormat="1" x14ac:dyDescent="0.25">
      <c r="I326" s="55"/>
      <c r="J326" s="55"/>
      <c r="K326" s="55"/>
      <c r="L326" s="55"/>
    </row>
    <row r="327" spans="9:12" s="33" customFormat="1" x14ac:dyDescent="0.25">
      <c r="I327" s="55"/>
      <c r="J327" s="55"/>
      <c r="K327" s="55"/>
      <c r="L327" s="55"/>
    </row>
    <row r="328" spans="9:12" s="33" customFormat="1" x14ac:dyDescent="0.25">
      <c r="I328" s="55"/>
      <c r="J328" s="55"/>
      <c r="K328" s="55"/>
      <c r="L328" s="55"/>
    </row>
    <row r="329" spans="9:12" s="33" customFormat="1" x14ac:dyDescent="0.25">
      <c r="I329" s="55"/>
      <c r="J329" s="55"/>
      <c r="K329" s="55"/>
      <c r="L329" s="55"/>
    </row>
    <row r="330" spans="9:12" s="33" customFormat="1" x14ac:dyDescent="0.25">
      <c r="I330" s="55"/>
      <c r="J330" s="55"/>
      <c r="K330" s="55"/>
      <c r="L330" s="55"/>
    </row>
    <row r="331" spans="9:12" s="33" customFormat="1" x14ac:dyDescent="0.25">
      <c r="I331" s="55"/>
      <c r="J331" s="55"/>
      <c r="K331" s="55"/>
      <c r="L331" s="55"/>
    </row>
    <row r="332" spans="9:12" s="33" customFormat="1" x14ac:dyDescent="0.25">
      <c r="I332" s="55"/>
      <c r="J332" s="55"/>
      <c r="K332" s="55"/>
      <c r="L332" s="55"/>
    </row>
    <row r="333" spans="9:12" s="33" customFormat="1" x14ac:dyDescent="0.25">
      <c r="I333" s="55"/>
      <c r="J333" s="55"/>
      <c r="K333" s="55"/>
      <c r="L333" s="55"/>
    </row>
    <row r="334" spans="9:12" s="33" customFormat="1" x14ac:dyDescent="0.25">
      <c r="I334" s="55"/>
      <c r="J334" s="55"/>
      <c r="K334" s="55"/>
      <c r="L334" s="55"/>
    </row>
    <row r="335" spans="9:12" s="33" customFormat="1" x14ac:dyDescent="0.25">
      <c r="I335" s="55"/>
      <c r="J335" s="55"/>
      <c r="K335" s="55"/>
      <c r="L335" s="55"/>
    </row>
    <row r="336" spans="9:12" s="33" customFormat="1" x14ac:dyDescent="0.25">
      <c r="I336" s="55"/>
      <c r="J336" s="55"/>
      <c r="K336" s="55"/>
      <c r="L336" s="55"/>
    </row>
    <row r="337" spans="9:12" s="33" customFormat="1" x14ac:dyDescent="0.25">
      <c r="I337" s="55"/>
      <c r="J337" s="55"/>
      <c r="K337" s="55"/>
      <c r="L337" s="55"/>
    </row>
    <row r="338" spans="9:12" s="33" customFormat="1" x14ac:dyDescent="0.25">
      <c r="I338" s="55"/>
      <c r="J338" s="55"/>
      <c r="K338" s="55"/>
      <c r="L338" s="55"/>
    </row>
    <row r="339" spans="9:12" s="33" customFormat="1" x14ac:dyDescent="0.25">
      <c r="I339" s="55"/>
      <c r="J339" s="55"/>
      <c r="K339" s="55"/>
      <c r="L339" s="55"/>
    </row>
    <row r="340" spans="9:12" s="33" customFormat="1" x14ac:dyDescent="0.25">
      <c r="I340" s="55"/>
      <c r="J340" s="55"/>
      <c r="K340" s="55"/>
      <c r="L340" s="55"/>
    </row>
    <row r="341" spans="9:12" s="33" customFormat="1" x14ac:dyDescent="0.25">
      <c r="I341" s="55"/>
      <c r="J341" s="55"/>
      <c r="K341" s="55"/>
      <c r="L341" s="55"/>
    </row>
    <row r="342" spans="9:12" s="33" customFormat="1" x14ac:dyDescent="0.25">
      <c r="I342" s="55"/>
      <c r="J342" s="55"/>
      <c r="K342" s="55"/>
      <c r="L342" s="55"/>
    </row>
    <row r="343" spans="9:12" s="33" customFormat="1" x14ac:dyDescent="0.25">
      <c r="I343" s="55"/>
      <c r="J343" s="55"/>
      <c r="K343" s="55"/>
      <c r="L343" s="55"/>
    </row>
    <row r="344" spans="9:12" s="33" customFormat="1" x14ac:dyDescent="0.25">
      <c r="I344" s="55"/>
      <c r="J344" s="55"/>
      <c r="K344" s="55"/>
      <c r="L344" s="55"/>
    </row>
    <row r="345" spans="9:12" s="33" customFormat="1" x14ac:dyDescent="0.25">
      <c r="I345" s="55"/>
      <c r="J345" s="55"/>
      <c r="K345" s="55"/>
      <c r="L345" s="55"/>
    </row>
    <row r="346" spans="9:12" s="33" customFormat="1" x14ac:dyDescent="0.25">
      <c r="I346" s="55"/>
      <c r="J346" s="55"/>
      <c r="K346" s="55"/>
      <c r="L346" s="55"/>
    </row>
    <row r="347" spans="9:12" s="33" customFormat="1" x14ac:dyDescent="0.25">
      <c r="I347" s="55"/>
      <c r="J347" s="55"/>
      <c r="K347" s="55"/>
      <c r="L347" s="55"/>
    </row>
    <row r="348" spans="9:12" s="33" customFormat="1" x14ac:dyDescent="0.25">
      <c r="I348" s="55"/>
      <c r="J348" s="55"/>
      <c r="K348" s="55"/>
      <c r="L348" s="55"/>
    </row>
    <row r="349" spans="9:12" s="33" customFormat="1" x14ac:dyDescent="0.25">
      <c r="I349" s="55"/>
      <c r="J349" s="55"/>
      <c r="K349" s="55"/>
      <c r="L349" s="55"/>
    </row>
    <row r="350" spans="9:12" s="33" customFormat="1" x14ac:dyDescent="0.25">
      <c r="I350" s="55"/>
      <c r="J350" s="55"/>
      <c r="K350" s="55"/>
      <c r="L350" s="55"/>
    </row>
    <row r="351" spans="9:12" s="33" customFormat="1" x14ac:dyDescent="0.25">
      <c r="I351" s="55"/>
      <c r="J351" s="55"/>
      <c r="K351" s="55"/>
      <c r="L351" s="55"/>
    </row>
    <row r="352" spans="9:12" s="33" customFormat="1" x14ac:dyDescent="0.25">
      <c r="I352" s="55"/>
      <c r="J352" s="55"/>
      <c r="K352" s="55"/>
      <c r="L352" s="55"/>
    </row>
    <row r="353" spans="9:12" s="33" customFormat="1" x14ac:dyDescent="0.25">
      <c r="I353" s="55"/>
      <c r="J353" s="55"/>
      <c r="K353" s="55"/>
      <c r="L353" s="55"/>
    </row>
    <row r="354" spans="9:12" s="33" customFormat="1" x14ac:dyDescent="0.25">
      <c r="I354" s="55"/>
      <c r="J354" s="55"/>
      <c r="K354" s="55"/>
      <c r="L354" s="55"/>
    </row>
    <row r="355" spans="9:12" s="33" customFormat="1" x14ac:dyDescent="0.25">
      <c r="I355" s="55"/>
      <c r="J355" s="55"/>
      <c r="K355" s="55"/>
      <c r="L355" s="55"/>
    </row>
    <row r="356" spans="9:12" s="33" customFormat="1" x14ac:dyDescent="0.25">
      <c r="I356" s="55"/>
      <c r="J356" s="55"/>
      <c r="K356" s="55"/>
      <c r="L356" s="55"/>
    </row>
    <row r="357" spans="9:12" s="33" customFormat="1" x14ac:dyDescent="0.25">
      <c r="I357" s="55"/>
      <c r="J357" s="55"/>
      <c r="K357" s="55"/>
      <c r="L357" s="55"/>
    </row>
    <row r="358" spans="9:12" s="33" customFormat="1" x14ac:dyDescent="0.25">
      <c r="I358" s="55"/>
      <c r="J358" s="55"/>
      <c r="K358" s="55"/>
      <c r="L358" s="55"/>
    </row>
    <row r="359" spans="9:12" s="33" customFormat="1" x14ac:dyDescent="0.25">
      <c r="I359" s="55"/>
      <c r="J359" s="55"/>
      <c r="K359" s="55"/>
      <c r="L359" s="55"/>
    </row>
    <row r="360" spans="9:12" s="33" customFormat="1" x14ac:dyDescent="0.25">
      <c r="I360" s="55"/>
      <c r="J360" s="55"/>
      <c r="K360" s="55"/>
      <c r="L360" s="55"/>
    </row>
    <row r="361" spans="9:12" s="33" customFormat="1" x14ac:dyDescent="0.25">
      <c r="I361" s="55"/>
      <c r="J361" s="55"/>
      <c r="K361" s="55"/>
      <c r="L361" s="55"/>
    </row>
    <row r="362" spans="9:12" s="33" customFormat="1" x14ac:dyDescent="0.25">
      <c r="I362" s="55"/>
      <c r="J362" s="55"/>
      <c r="K362" s="55"/>
      <c r="L362" s="55"/>
    </row>
    <row r="363" spans="9:12" s="33" customFormat="1" x14ac:dyDescent="0.25">
      <c r="I363" s="55"/>
      <c r="J363" s="55"/>
      <c r="K363" s="55"/>
      <c r="L363" s="55"/>
    </row>
    <row r="364" spans="9:12" s="33" customFormat="1" x14ac:dyDescent="0.25">
      <c r="I364" s="55"/>
      <c r="J364" s="55"/>
      <c r="K364" s="55"/>
      <c r="L364" s="55"/>
    </row>
    <row r="365" spans="9:12" s="33" customFormat="1" x14ac:dyDescent="0.25">
      <c r="I365" s="55"/>
      <c r="J365" s="55"/>
      <c r="K365" s="55"/>
      <c r="L365" s="55"/>
    </row>
    <row r="366" spans="9:12" s="33" customFormat="1" x14ac:dyDescent="0.25">
      <c r="I366" s="55"/>
      <c r="J366" s="55"/>
      <c r="K366" s="55"/>
      <c r="L366" s="55"/>
    </row>
    <row r="367" spans="9:12" s="33" customFormat="1" x14ac:dyDescent="0.25">
      <c r="I367" s="55"/>
      <c r="J367" s="55"/>
      <c r="K367" s="55"/>
      <c r="L367" s="55"/>
    </row>
    <row r="368" spans="9:12" s="33" customFormat="1" x14ac:dyDescent="0.25">
      <c r="I368" s="55"/>
      <c r="J368" s="55"/>
      <c r="K368" s="55"/>
      <c r="L368" s="55"/>
    </row>
    <row r="369" spans="9:12" s="33" customFormat="1" x14ac:dyDescent="0.25">
      <c r="I369" s="55"/>
      <c r="J369" s="55"/>
      <c r="K369" s="55"/>
      <c r="L369" s="55"/>
    </row>
    <row r="370" spans="9:12" s="33" customFormat="1" x14ac:dyDescent="0.25">
      <c r="I370" s="55"/>
      <c r="J370" s="55"/>
      <c r="K370" s="55"/>
      <c r="L370" s="55"/>
    </row>
    <row r="371" spans="9:12" s="33" customFormat="1" x14ac:dyDescent="0.25">
      <c r="I371" s="55"/>
      <c r="J371" s="55"/>
      <c r="K371" s="55"/>
      <c r="L371" s="55"/>
    </row>
    <row r="372" spans="9:12" s="33" customFormat="1" x14ac:dyDescent="0.25">
      <c r="I372" s="55"/>
      <c r="J372" s="55"/>
      <c r="K372" s="55"/>
      <c r="L372" s="55"/>
    </row>
    <row r="373" spans="9:12" s="33" customFormat="1" x14ac:dyDescent="0.25">
      <c r="I373" s="55"/>
      <c r="J373" s="55"/>
      <c r="K373" s="55"/>
      <c r="L373" s="55"/>
    </row>
    <row r="374" spans="9:12" s="33" customFormat="1" x14ac:dyDescent="0.25">
      <c r="I374" s="55"/>
      <c r="J374" s="55"/>
      <c r="K374" s="55"/>
      <c r="L374" s="55"/>
    </row>
    <row r="375" spans="9:12" s="33" customFormat="1" x14ac:dyDescent="0.25">
      <c r="I375" s="55"/>
      <c r="J375" s="55"/>
      <c r="K375" s="55"/>
      <c r="L375" s="55"/>
    </row>
    <row r="376" spans="9:12" s="33" customFormat="1" x14ac:dyDescent="0.25">
      <c r="I376" s="55"/>
      <c r="J376" s="55"/>
      <c r="K376" s="55"/>
      <c r="L376" s="55"/>
    </row>
    <row r="377" spans="9:12" s="33" customFormat="1" x14ac:dyDescent="0.25">
      <c r="I377" s="55"/>
      <c r="J377" s="55"/>
      <c r="K377" s="55"/>
      <c r="L377" s="55"/>
    </row>
    <row r="378" spans="9:12" s="33" customFormat="1" x14ac:dyDescent="0.25">
      <c r="I378" s="55"/>
      <c r="J378" s="55"/>
      <c r="K378" s="55"/>
      <c r="L378" s="55"/>
    </row>
    <row r="379" spans="9:12" s="33" customFormat="1" x14ac:dyDescent="0.25">
      <c r="I379" s="55"/>
      <c r="J379" s="55"/>
      <c r="K379" s="55"/>
      <c r="L379" s="55"/>
    </row>
    <row r="380" spans="9:12" s="33" customFormat="1" x14ac:dyDescent="0.25">
      <c r="I380" s="55"/>
      <c r="J380" s="55"/>
      <c r="K380" s="55"/>
      <c r="L380" s="55"/>
    </row>
    <row r="381" spans="9:12" s="33" customFormat="1" x14ac:dyDescent="0.25">
      <c r="I381" s="55"/>
      <c r="J381" s="55"/>
      <c r="K381" s="55"/>
      <c r="L381" s="55"/>
    </row>
    <row r="382" spans="9:12" s="33" customFormat="1" x14ac:dyDescent="0.25">
      <c r="I382" s="55"/>
      <c r="J382" s="55"/>
      <c r="K382" s="55"/>
      <c r="L382" s="55"/>
    </row>
    <row r="383" spans="9:12" s="33" customFormat="1" x14ac:dyDescent="0.25">
      <c r="I383" s="55"/>
      <c r="J383" s="55"/>
      <c r="K383" s="55"/>
      <c r="L383" s="55"/>
    </row>
    <row r="384" spans="9:12" s="33" customFormat="1" x14ac:dyDescent="0.25">
      <c r="I384" s="55"/>
      <c r="J384" s="55"/>
      <c r="K384" s="55"/>
      <c r="L384" s="55"/>
    </row>
    <row r="385" spans="9:12" s="33" customFormat="1" x14ac:dyDescent="0.25">
      <c r="I385" s="55"/>
      <c r="J385" s="55"/>
      <c r="K385" s="55"/>
      <c r="L385" s="55"/>
    </row>
    <row r="386" spans="9:12" s="33" customFormat="1" x14ac:dyDescent="0.25">
      <c r="I386" s="55"/>
      <c r="J386" s="55"/>
      <c r="K386" s="55"/>
      <c r="L386" s="55"/>
    </row>
    <row r="387" spans="9:12" s="33" customFormat="1" x14ac:dyDescent="0.25">
      <c r="I387" s="55"/>
      <c r="J387" s="55"/>
      <c r="K387" s="55"/>
      <c r="L387" s="55"/>
    </row>
    <row r="388" spans="9:12" s="33" customFormat="1" x14ac:dyDescent="0.25">
      <c r="I388" s="55"/>
      <c r="J388" s="55"/>
      <c r="K388" s="55"/>
      <c r="L388" s="55"/>
    </row>
    <row r="389" spans="9:12" s="33" customFormat="1" x14ac:dyDescent="0.25">
      <c r="I389" s="55"/>
      <c r="J389" s="55"/>
      <c r="K389" s="55"/>
      <c r="L389" s="55"/>
    </row>
    <row r="390" spans="9:12" s="33" customFormat="1" x14ac:dyDescent="0.25">
      <c r="I390" s="55"/>
      <c r="J390" s="55"/>
      <c r="K390" s="55"/>
      <c r="L390" s="55"/>
    </row>
    <row r="391" spans="9:12" s="33" customFormat="1" x14ac:dyDescent="0.25">
      <c r="I391" s="55"/>
      <c r="J391" s="55"/>
      <c r="K391" s="55"/>
      <c r="L391" s="55"/>
    </row>
    <row r="392" spans="9:12" s="33" customFormat="1" x14ac:dyDescent="0.25">
      <c r="I392" s="55"/>
      <c r="J392" s="55"/>
      <c r="K392" s="55"/>
      <c r="L392" s="55"/>
    </row>
    <row r="393" spans="9:12" s="33" customFormat="1" x14ac:dyDescent="0.25">
      <c r="I393" s="55"/>
      <c r="J393" s="55"/>
      <c r="K393" s="55"/>
      <c r="L393" s="55"/>
    </row>
    <row r="394" spans="9:12" s="33" customFormat="1" x14ac:dyDescent="0.25">
      <c r="I394" s="55"/>
      <c r="J394" s="55"/>
      <c r="K394" s="55"/>
      <c r="L394" s="55"/>
    </row>
    <row r="395" spans="9:12" s="33" customFormat="1" x14ac:dyDescent="0.25">
      <c r="I395" s="55"/>
      <c r="J395" s="55"/>
      <c r="K395" s="55"/>
      <c r="L395" s="55"/>
    </row>
    <row r="396" spans="9:12" s="33" customFormat="1" x14ac:dyDescent="0.25">
      <c r="I396" s="55"/>
      <c r="J396" s="55"/>
      <c r="K396" s="55"/>
      <c r="L396" s="55"/>
    </row>
    <row r="397" spans="9:12" s="33" customFormat="1" x14ac:dyDescent="0.25">
      <c r="I397" s="55"/>
      <c r="J397" s="55"/>
      <c r="K397" s="55"/>
      <c r="L397" s="55"/>
    </row>
    <row r="398" spans="9:12" s="33" customFormat="1" x14ac:dyDescent="0.25">
      <c r="I398" s="55"/>
      <c r="J398" s="55"/>
      <c r="K398" s="55"/>
      <c r="L398" s="55"/>
    </row>
    <row r="399" spans="9:12" s="33" customFormat="1" x14ac:dyDescent="0.25">
      <c r="I399" s="55"/>
      <c r="J399" s="55"/>
      <c r="K399" s="55"/>
      <c r="L399" s="55"/>
    </row>
    <row r="400" spans="9:12" s="33" customFormat="1" x14ac:dyDescent="0.25">
      <c r="I400" s="55"/>
      <c r="J400" s="55"/>
      <c r="K400" s="55"/>
      <c r="L400" s="55"/>
    </row>
    <row r="401" spans="9:12" s="33" customFormat="1" x14ac:dyDescent="0.25">
      <c r="I401" s="55"/>
      <c r="J401" s="55"/>
      <c r="K401" s="55"/>
      <c r="L401" s="55"/>
    </row>
    <row r="402" spans="9:12" s="33" customFormat="1" x14ac:dyDescent="0.25">
      <c r="I402" s="55"/>
      <c r="J402" s="55"/>
      <c r="K402" s="55"/>
      <c r="L402" s="55"/>
    </row>
    <row r="403" spans="9:12" s="33" customFormat="1" x14ac:dyDescent="0.25">
      <c r="I403" s="55"/>
      <c r="J403" s="55"/>
      <c r="K403" s="55"/>
      <c r="L403" s="55"/>
    </row>
    <row r="404" spans="9:12" s="33" customFormat="1" x14ac:dyDescent="0.25">
      <c r="I404" s="55"/>
      <c r="J404" s="55"/>
      <c r="K404" s="55"/>
      <c r="L404" s="55"/>
    </row>
    <row r="405" spans="9:12" s="33" customFormat="1" x14ac:dyDescent="0.25">
      <c r="I405" s="55"/>
      <c r="J405" s="55"/>
      <c r="K405" s="55"/>
      <c r="L405" s="55"/>
    </row>
    <row r="406" spans="9:12" s="33" customFormat="1" x14ac:dyDescent="0.25">
      <c r="I406" s="55"/>
      <c r="J406" s="55"/>
      <c r="K406" s="55"/>
      <c r="L406" s="55"/>
    </row>
    <row r="407" spans="9:12" s="33" customFormat="1" x14ac:dyDescent="0.25">
      <c r="I407" s="55"/>
      <c r="J407" s="55"/>
      <c r="K407" s="55"/>
      <c r="L407" s="55"/>
    </row>
    <row r="408" spans="9:12" s="33" customFormat="1" x14ac:dyDescent="0.25">
      <c r="I408" s="55"/>
      <c r="J408" s="55"/>
      <c r="K408" s="55"/>
      <c r="L408" s="55"/>
    </row>
    <row r="409" spans="9:12" s="33" customFormat="1" x14ac:dyDescent="0.25">
      <c r="I409" s="55"/>
      <c r="J409" s="55"/>
      <c r="K409" s="55"/>
      <c r="L409" s="55"/>
    </row>
    <row r="410" spans="9:12" s="33" customFormat="1" x14ac:dyDescent="0.25">
      <c r="I410" s="55"/>
      <c r="J410" s="55"/>
      <c r="K410" s="55"/>
      <c r="L410" s="55"/>
    </row>
    <row r="411" spans="9:12" s="33" customFormat="1" x14ac:dyDescent="0.25">
      <c r="I411" s="55"/>
      <c r="J411" s="55"/>
      <c r="K411" s="55"/>
      <c r="L411" s="55"/>
    </row>
    <row r="412" spans="9:12" s="33" customFormat="1" x14ac:dyDescent="0.25">
      <c r="I412" s="55"/>
      <c r="J412" s="55"/>
      <c r="K412" s="55"/>
      <c r="L412" s="55"/>
    </row>
    <row r="413" spans="9:12" s="33" customFormat="1" x14ac:dyDescent="0.25">
      <c r="I413" s="55"/>
      <c r="J413" s="55"/>
      <c r="K413" s="55"/>
      <c r="L413" s="55"/>
    </row>
    <row r="414" spans="9:12" s="33" customFormat="1" x14ac:dyDescent="0.25">
      <c r="I414" s="55"/>
      <c r="J414" s="55"/>
      <c r="K414" s="55"/>
      <c r="L414" s="55"/>
    </row>
    <row r="415" spans="9:12" s="33" customFormat="1" x14ac:dyDescent="0.25">
      <c r="I415" s="55"/>
      <c r="J415" s="55"/>
      <c r="K415" s="55"/>
      <c r="L415" s="55"/>
    </row>
    <row r="416" spans="9:12" s="33" customFormat="1" x14ac:dyDescent="0.25">
      <c r="I416" s="55"/>
      <c r="J416" s="55"/>
      <c r="K416" s="55"/>
      <c r="L416" s="55"/>
    </row>
    <row r="417" spans="9:12" s="33" customFormat="1" x14ac:dyDescent="0.25">
      <c r="I417" s="55"/>
      <c r="J417" s="55"/>
      <c r="K417" s="55"/>
      <c r="L417" s="55"/>
    </row>
    <row r="418" spans="9:12" s="33" customFormat="1" x14ac:dyDescent="0.25">
      <c r="I418" s="55"/>
      <c r="J418" s="55"/>
      <c r="K418" s="55"/>
      <c r="L418" s="55"/>
    </row>
    <row r="419" spans="9:12" s="33" customFormat="1" x14ac:dyDescent="0.25">
      <c r="I419" s="55"/>
      <c r="J419" s="55"/>
      <c r="K419" s="55"/>
      <c r="L419" s="55"/>
    </row>
    <row r="420" spans="9:12" s="33" customFormat="1" x14ac:dyDescent="0.25">
      <c r="I420" s="55"/>
      <c r="J420" s="55"/>
      <c r="K420" s="55"/>
      <c r="L420" s="55"/>
    </row>
    <row r="421" spans="9:12" s="33" customFormat="1" x14ac:dyDescent="0.25">
      <c r="I421" s="55"/>
      <c r="J421" s="55"/>
      <c r="K421" s="55"/>
      <c r="L421" s="55"/>
    </row>
    <row r="422" spans="9:12" s="33" customFormat="1" x14ac:dyDescent="0.25">
      <c r="I422" s="55"/>
      <c r="J422" s="55"/>
      <c r="K422" s="55"/>
      <c r="L422" s="55"/>
    </row>
    <row r="423" spans="9:12" s="33" customFormat="1" x14ac:dyDescent="0.25">
      <c r="I423" s="55"/>
      <c r="J423" s="55"/>
      <c r="K423" s="55"/>
      <c r="L423" s="55"/>
    </row>
    <row r="424" spans="9:12" s="33" customFormat="1" x14ac:dyDescent="0.25">
      <c r="I424" s="55"/>
      <c r="J424" s="55"/>
      <c r="K424" s="55"/>
      <c r="L424" s="55"/>
    </row>
    <row r="425" spans="9:12" s="33" customFormat="1" x14ac:dyDescent="0.25">
      <c r="I425" s="55"/>
      <c r="J425" s="55"/>
      <c r="K425" s="55"/>
      <c r="L425" s="55"/>
    </row>
    <row r="426" spans="9:12" s="33" customFormat="1" x14ac:dyDescent="0.25">
      <c r="I426" s="55"/>
      <c r="J426" s="55"/>
      <c r="K426" s="55"/>
      <c r="L426" s="55"/>
    </row>
    <row r="427" spans="9:12" s="33" customFormat="1" x14ac:dyDescent="0.25">
      <c r="I427" s="55"/>
      <c r="J427" s="55"/>
      <c r="K427" s="55"/>
      <c r="L427" s="55"/>
    </row>
    <row r="428" spans="9:12" s="33" customFormat="1" x14ac:dyDescent="0.25">
      <c r="I428" s="55"/>
      <c r="J428" s="55"/>
      <c r="K428" s="55"/>
      <c r="L428" s="55"/>
    </row>
    <row r="429" spans="9:12" s="33" customFormat="1" x14ac:dyDescent="0.25">
      <c r="I429" s="55"/>
      <c r="J429" s="55"/>
      <c r="K429" s="55"/>
      <c r="L429" s="55"/>
    </row>
    <row r="430" spans="9:12" s="33" customFormat="1" x14ac:dyDescent="0.25">
      <c r="I430" s="55"/>
      <c r="J430" s="55"/>
      <c r="K430" s="55"/>
      <c r="L430" s="55"/>
    </row>
    <row r="431" spans="9:12" s="33" customFormat="1" x14ac:dyDescent="0.25">
      <c r="I431" s="55"/>
      <c r="J431" s="55"/>
      <c r="K431" s="55"/>
      <c r="L431" s="55"/>
    </row>
    <row r="432" spans="9:12" s="33" customFormat="1" x14ac:dyDescent="0.25">
      <c r="I432" s="55"/>
      <c r="J432" s="55"/>
      <c r="K432" s="55"/>
      <c r="L432" s="55"/>
    </row>
    <row r="433" spans="9:12" s="33" customFormat="1" x14ac:dyDescent="0.25">
      <c r="I433" s="55"/>
      <c r="J433" s="55"/>
      <c r="K433" s="55"/>
      <c r="L433" s="55"/>
    </row>
    <row r="434" spans="9:12" s="33" customFormat="1" x14ac:dyDescent="0.25">
      <c r="I434" s="55"/>
      <c r="J434" s="55"/>
      <c r="K434" s="55"/>
      <c r="L434" s="55"/>
    </row>
    <row r="435" spans="9:12" s="33" customFormat="1" x14ac:dyDescent="0.25">
      <c r="I435" s="55"/>
      <c r="J435" s="55"/>
      <c r="K435" s="55"/>
      <c r="L435" s="55"/>
    </row>
    <row r="436" spans="9:12" s="33" customFormat="1" x14ac:dyDescent="0.25">
      <c r="I436" s="55"/>
      <c r="J436" s="55"/>
      <c r="K436" s="55"/>
      <c r="L436" s="55"/>
    </row>
    <row r="437" spans="9:12" s="33" customFormat="1" x14ac:dyDescent="0.25">
      <c r="I437" s="55"/>
      <c r="J437" s="55"/>
      <c r="K437" s="55"/>
      <c r="L437" s="55"/>
    </row>
    <row r="438" spans="9:12" s="33" customFormat="1" x14ac:dyDescent="0.25">
      <c r="I438" s="55"/>
      <c r="J438" s="55"/>
      <c r="K438" s="55"/>
      <c r="L438" s="55"/>
    </row>
    <row r="439" spans="9:12" s="33" customFormat="1" x14ac:dyDescent="0.25">
      <c r="I439" s="55"/>
      <c r="J439" s="55"/>
      <c r="K439" s="55"/>
      <c r="L439" s="55"/>
    </row>
    <row r="440" spans="9:12" s="33" customFormat="1" x14ac:dyDescent="0.25">
      <c r="I440" s="55"/>
      <c r="J440" s="55"/>
      <c r="K440" s="55"/>
      <c r="L440" s="55"/>
    </row>
    <row r="441" spans="9:12" s="33" customFormat="1" x14ac:dyDescent="0.25">
      <c r="I441" s="55"/>
      <c r="J441" s="55"/>
      <c r="K441" s="55"/>
      <c r="L441" s="55"/>
    </row>
    <row r="442" spans="9:12" s="33" customFormat="1" x14ac:dyDescent="0.25">
      <c r="I442" s="55"/>
      <c r="J442" s="55"/>
      <c r="K442" s="55"/>
      <c r="L442" s="55"/>
    </row>
    <row r="443" spans="9:12" s="33" customFormat="1" x14ac:dyDescent="0.25">
      <c r="I443" s="55"/>
      <c r="J443" s="55"/>
      <c r="K443" s="55"/>
      <c r="L443" s="55"/>
    </row>
    <row r="444" spans="9:12" s="33" customFormat="1" x14ac:dyDescent="0.25">
      <c r="I444" s="55"/>
      <c r="J444" s="55"/>
      <c r="K444" s="55"/>
      <c r="L444" s="55"/>
    </row>
    <row r="445" spans="9:12" s="33" customFormat="1" x14ac:dyDescent="0.25">
      <c r="I445" s="55"/>
      <c r="J445" s="55"/>
      <c r="K445" s="55"/>
      <c r="L445" s="55"/>
    </row>
    <row r="446" spans="9:12" s="33" customFormat="1" x14ac:dyDescent="0.25">
      <c r="I446" s="55"/>
      <c r="J446" s="55"/>
      <c r="K446" s="55"/>
      <c r="L446" s="55"/>
    </row>
    <row r="447" spans="9:12" s="33" customFormat="1" x14ac:dyDescent="0.25">
      <c r="I447" s="55"/>
      <c r="J447" s="55"/>
      <c r="K447" s="55"/>
      <c r="L447" s="55"/>
    </row>
    <row r="448" spans="9:12" s="33" customFormat="1" x14ac:dyDescent="0.25">
      <c r="I448" s="55"/>
      <c r="J448" s="55"/>
      <c r="K448" s="55"/>
      <c r="L448" s="55"/>
    </row>
    <row r="449" spans="9:12" s="33" customFormat="1" x14ac:dyDescent="0.25">
      <c r="I449" s="55"/>
      <c r="J449" s="55"/>
      <c r="K449" s="55"/>
      <c r="L449" s="55"/>
    </row>
    <row r="450" spans="9:12" s="33" customFormat="1" x14ac:dyDescent="0.25">
      <c r="I450" s="55"/>
      <c r="J450" s="55"/>
      <c r="K450" s="55"/>
      <c r="L450" s="55"/>
    </row>
    <row r="451" spans="9:12" s="33" customFormat="1" x14ac:dyDescent="0.25">
      <c r="I451" s="55"/>
      <c r="J451" s="55"/>
      <c r="K451" s="55"/>
      <c r="L451" s="55"/>
    </row>
    <row r="452" spans="9:12" s="33" customFormat="1" x14ac:dyDescent="0.25">
      <c r="I452" s="55"/>
      <c r="J452" s="55"/>
      <c r="K452" s="55"/>
      <c r="L452" s="55"/>
    </row>
    <row r="453" spans="9:12" s="33" customFormat="1" x14ac:dyDescent="0.25">
      <c r="I453" s="55"/>
      <c r="J453" s="55"/>
      <c r="K453" s="55"/>
      <c r="L453" s="55"/>
    </row>
    <row r="454" spans="9:12" s="33" customFormat="1" x14ac:dyDescent="0.25">
      <c r="I454" s="55"/>
      <c r="J454" s="55"/>
      <c r="K454" s="55"/>
      <c r="L454" s="55"/>
    </row>
    <row r="455" spans="9:12" s="33" customFormat="1" x14ac:dyDescent="0.25">
      <c r="I455" s="55"/>
      <c r="J455" s="55"/>
      <c r="K455" s="55"/>
      <c r="L455" s="55"/>
    </row>
    <row r="456" spans="9:12" s="33" customFormat="1" x14ac:dyDescent="0.25">
      <c r="I456" s="55"/>
      <c r="J456" s="55"/>
      <c r="K456" s="55"/>
      <c r="L456" s="55"/>
    </row>
    <row r="457" spans="9:12" s="33" customFormat="1" x14ac:dyDescent="0.25">
      <c r="I457" s="55"/>
      <c r="J457" s="55"/>
      <c r="K457" s="55"/>
      <c r="L457" s="55"/>
    </row>
    <row r="458" spans="9:12" s="33" customFormat="1" x14ac:dyDescent="0.25">
      <c r="I458" s="55"/>
      <c r="J458" s="55"/>
      <c r="K458" s="55"/>
      <c r="L458" s="55"/>
    </row>
    <row r="459" spans="9:12" s="33" customFormat="1" x14ac:dyDescent="0.25">
      <c r="I459" s="55"/>
      <c r="J459" s="55"/>
      <c r="K459" s="55"/>
      <c r="L459" s="55"/>
    </row>
    <row r="460" spans="9:12" s="33" customFormat="1" x14ac:dyDescent="0.25">
      <c r="I460" s="55"/>
      <c r="J460" s="55"/>
      <c r="K460" s="55"/>
      <c r="L460" s="55"/>
    </row>
    <row r="461" spans="9:12" s="33" customFormat="1" x14ac:dyDescent="0.25">
      <c r="I461" s="55"/>
      <c r="J461" s="55"/>
      <c r="K461" s="55"/>
      <c r="L461" s="55"/>
    </row>
    <row r="462" spans="9:12" s="33" customFormat="1" x14ac:dyDescent="0.25">
      <c r="I462" s="55"/>
      <c r="J462" s="55"/>
      <c r="K462" s="55"/>
      <c r="L462" s="55"/>
    </row>
    <row r="463" spans="9:12" s="33" customFormat="1" x14ac:dyDescent="0.25">
      <c r="I463" s="55"/>
      <c r="J463" s="55"/>
      <c r="K463" s="55"/>
      <c r="L463" s="55"/>
    </row>
    <row r="464" spans="9:12" s="33" customFormat="1" x14ac:dyDescent="0.25">
      <c r="I464" s="55"/>
      <c r="J464" s="55"/>
      <c r="K464" s="55"/>
      <c r="L464" s="55"/>
    </row>
    <row r="465" spans="9:12" s="33" customFormat="1" x14ac:dyDescent="0.25">
      <c r="I465" s="55"/>
      <c r="J465" s="55"/>
      <c r="K465" s="55"/>
      <c r="L465" s="55"/>
    </row>
    <row r="466" spans="9:12" s="33" customFormat="1" x14ac:dyDescent="0.25">
      <c r="I466" s="55"/>
      <c r="J466" s="55"/>
      <c r="K466" s="55"/>
      <c r="L466" s="55"/>
    </row>
    <row r="467" spans="9:12" s="33" customFormat="1" x14ac:dyDescent="0.25">
      <c r="I467" s="55"/>
      <c r="J467" s="55"/>
      <c r="K467" s="55"/>
      <c r="L467" s="55"/>
    </row>
    <row r="468" spans="9:12" s="33" customFormat="1" x14ac:dyDescent="0.25">
      <c r="I468" s="55"/>
      <c r="J468" s="55"/>
      <c r="K468" s="55"/>
      <c r="L468" s="55"/>
    </row>
    <row r="469" spans="9:12" s="33" customFormat="1" x14ac:dyDescent="0.25">
      <c r="I469" s="55"/>
      <c r="J469" s="55"/>
      <c r="K469" s="55"/>
      <c r="L469" s="55"/>
    </row>
    <row r="470" spans="9:12" s="33" customFormat="1" x14ac:dyDescent="0.25">
      <c r="I470" s="55"/>
      <c r="J470" s="55"/>
      <c r="K470" s="55"/>
      <c r="L470" s="55"/>
    </row>
    <row r="471" spans="9:12" s="33" customFormat="1" x14ac:dyDescent="0.25">
      <c r="I471" s="55"/>
      <c r="J471" s="55"/>
      <c r="K471" s="55"/>
      <c r="L471" s="55"/>
    </row>
    <row r="472" spans="9:12" s="33" customFormat="1" x14ac:dyDescent="0.25">
      <c r="I472" s="55"/>
      <c r="J472" s="55"/>
      <c r="K472" s="55"/>
      <c r="L472" s="55"/>
    </row>
    <row r="473" spans="9:12" s="33" customFormat="1" x14ac:dyDescent="0.25">
      <c r="I473" s="55"/>
      <c r="J473" s="55"/>
      <c r="K473" s="55"/>
      <c r="L473" s="55"/>
    </row>
    <row r="474" spans="9:12" s="33" customFormat="1" x14ac:dyDescent="0.25">
      <c r="I474" s="55"/>
      <c r="J474" s="55"/>
      <c r="K474" s="55"/>
      <c r="L474" s="55"/>
    </row>
    <row r="475" spans="9:12" s="33" customFormat="1" x14ac:dyDescent="0.25">
      <c r="I475" s="55"/>
      <c r="J475" s="55"/>
      <c r="K475" s="55"/>
      <c r="L475" s="55"/>
    </row>
    <row r="476" spans="9:12" s="33" customFormat="1" x14ac:dyDescent="0.25">
      <c r="I476" s="55"/>
      <c r="J476" s="55"/>
      <c r="K476" s="55"/>
      <c r="L476" s="55"/>
    </row>
    <row r="477" spans="9:12" s="33" customFormat="1" x14ac:dyDescent="0.25">
      <c r="I477" s="55"/>
      <c r="J477" s="55"/>
      <c r="K477" s="55"/>
      <c r="L477" s="55"/>
    </row>
    <row r="478" spans="9:12" s="33" customFormat="1" x14ac:dyDescent="0.25">
      <c r="I478" s="55"/>
      <c r="J478" s="55"/>
      <c r="K478" s="55"/>
      <c r="L478" s="55"/>
    </row>
    <row r="479" spans="9:12" s="33" customFormat="1" x14ac:dyDescent="0.25">
      <c r="I479" s="55"/>
      <c r="J479" s="55"/>
      <c r="K479" s="55"/>
      <c r="L479" s="55"/>
    </row>
    <row r="480" spans="9:12" s="33" customFormat="1" x14ac:dyDescent="0.25">
      <c r="I480" s="55"/>
      <c r="J480" s="55"/>
      <c r="K480" s="55"/>
      <c r="L480" s="55"/>
    </row>
    <row r="481" spans="9:12" s="33" customFormat="1" x14ac:dyDescent="0.25">
      <c r="I481" s="55"/>
      <c r="J481" s="55"/>
      <c r="K481" s="55"/>
      <c r="L481" s="55"/>
    </row>
    <row r="482" spans="9:12" s="33" customFormat="1" x14ac:dyDescent="0.25">
      <c r="I482" s="55"/>
      <c r="J482" s="55"/>
      <c r="K482" s="55"/>
      <c r="L482" s="55"/>
    </row>
    <row r="483" spans="9:12" s="33" customFormat="1" x14ac:dyDescent="0.25">
      <c r="I483" s="55"/>
      <c r="J483" s="55"/>
      <c r="K483" s="55"/>
      <c r="L483" s="55"/>
    </row>
    <row r="484" spans="9:12" s="33" customFormat="1" x14ac:dyDescent="0.25">
      <c r="I484" s="55"/>
      <c r="J484" s="55"/>
      <c r="K484" s="55"/>
      <c r="L484" s="55"/>
    </row>
    <row r="485" spans="9:12" s="33" customFormat="1" x14ac:dyDescent="0.25">
      <c r="I485" s="55"/>
      <c r="J485" s="55"/>
      <c r="K485" s="55"/>
      <c r="L485" s="55"/>
    </row>
    <row r="486" spans="9:12" s="33" customFormat="1" x14ac:dyDescent="0.25">
      <c r="I486" s="55"/>
      <c r="J486" s="55"/>
      <c r="K486" s="55"/>
      <c r="L486" s="55"/>
    </row>
    <row r="487" spans="9:12" s="33" customFormat="1" x14ac:dyDescent="0.25">
      <c r="I487" s="55"/>
      <c r="J487" s="55"/>
      <c r="K487" s="55"/>
      <c r="L487" s="55"/>
    </row>
    <row r="488" spans="9:12" s="33" customFormat="1" x14ac:dyDescent="0.25">
      <c r="I488" s="55"/>
      <c r="J488" s="55"/>
      <c r="K488" s="55"/>
      <c r="L488" s="55"/>
    </row>
    <row r="489" spans="9:12" s="33" customFormat="1" x14ac:dyDescent="0.25">
      <c r="I489" s="55"/>
      <c r="J489" s="55"/>
      <c r="K489" s="55"/>
      <c r="L489" s="55"/>
    </row>
    <row r="490" spans="9:12" s="33" customFormat="1" x14ac:dyDescent="0.25">
      <c r="I490" s="55"/>
      <c r="J490" s="55"/>
      <c r="K490" s="55"/>
      <c r="L490" s="55"/>
    </row>
    <row r="491" spans="9:12" s="33" customFormat="1" x14ac:dyDescent="0.25">
      <c r="I491" s="55"/>
      <c r="J491" s="55"/>
      <c r="K491" s="55"/>
      <c r="L491" s="55"/>
    </row>
    <row r="492" spans="9:12" s="33" customFormat="1" x14ac:dyDescent="0.25">
      <c r="I492" s="55"/>
      <c r="J492" s="55"/>
      <c r="K492" s="55"/>
      <c r="L492" s="55"/>
    </row>
    <row r="493" spans="9:12" s="33" customFormat="1" x14ac:dyDescent="0.25">
      <c r="I493" s="55"/>
      <c r="J493" s="55"/>
      <c r="K493" s="55"/>
      <c r="L493" s="55"/>
    </row>
    <row r="494" spans="9:12" s="33" customFormat="1" x14ac:dyDescent="0.25">
      <c r="I494" s="55"/>
      <c r="J494" s="55"/>
      <c r="K494" s="55"/>
      <c r="L494" s="55"/>
    </row>
    <row r="495" spans="9:12" s="33" customFormat="1" x14ac:dyDescent="0.25">
      <c r="I495" s="55"/>
      <c r="J495" s="55"/>
      <c r="K495" s="55"/>
      <c r="L495" s="55"/>
    </row>
    <row r="496" spans="9:12" s="33" customFormat="1" x14ac:dyDescent="0.25">
      <c r="I496" s="55"/>
      <c r="J496" s="55"/>
      <c r="K496" s="55"/>
      <c r="L496" s="55"/>
    </row>
    <row r="497" spans="9:12" s="33" customFormat="1" x14ac:dyDescent="0.25">
      <c r="I497" s="55"/>
      <c r="J497" s="55"/>
      <c r="K497" s="55"/>
      <c r="L497" s="55"/>
    </row>
    <row r="498" spans="9:12" s="33" customFormat="1" x14ac:dyDescent="0.25">
      <c r="I498" s="55"/>
      <c r="J498" s="55"/>
      <c r="K498" s="55"/>
      <c r="L498" s="55"/>
    </row>
    <row r="499" spans="9:12" s="33" customFormat="1" x14ac:dyDescent="0.25">
      <c r="I499" s="55"/>
      <c r="J499" s="55"/>
      <c r="K499" s="55"/>
      <c r="L499" s="55"/>
    </row>
    <row r="500" spans="9:12" s="33" customFormat="1" x14ac:dyDescent="0.25">
      <c r="I500" s="55"/>
      <c r="J500" s="55"/>
      <c r="K500" s="55"/>
      <c r="L500" s="55"/>
    </row>
    <row r="501" spans="9:12" s="33" customFormat="1" x14ac:dyDescent="0.25">
      <c r="I501" s="55"/>
      <c r="J501" s="55"/>
      <c r="K501" s="55"/>
      <c r="L501" s="55"/>
    </row>
    <row r="502" spans="9:12" s="33" customFormat="1" x14ac:dyDescent="0.25">
      <c r="I502" s="55"/>
      <c r="J502" s="55"/>
      <c r="K502" s="55"/>
      <c r="L502" s="55"/>
    </row>
    <row r="503" spans="9:12" s="33" customFormat="1" x14ac:dyDescent="0.25">
      <c r="I503" s="55"/>
      <c r="J503" s="55"/>
      <c r="K503" s="55"/>
      <c r="L503" s="55"/>
    </row>
    <row r="504" spans="9:12" s="33" customFormat="1" x14ac:dyDescent="0.25">
      <c r="I504" s="55"/>
      <c r="J504" s="55"/>
      <c r="K504" s="55"/>
      <c r="L504" s="55"/>
    </row>
    <row r="505" spans="9:12" s="33" customFormat="1" x14ac:dyDescent="0.25">
      <c r="I505" s="55"/>
      <c r="J505" s="55"/>
      <c r="K505" s="55"/>
      <c r="L505" s="55"/>
    </row>
    <row r="506" spans="9:12" s="33" customFormat="1" x14ac:dyDescent="0.25">
      <c r="I506" s="55"/>
      <c r="J506" s="55"/>
      <c r="K506" s="55"/>
      <c r="L506" s="55"/>
    </row>
    <row r="507" spans="9:12" s="33" customFormat="1" x14ac:dyDescent="0.25">
      <c r="I507" s="55"/>
      <c r="J507" s="55"/>
      <c r="K507" s="55"/>
      <c r="L507" s="55"/>
    </row>
    <row r="508" spans="9:12" s="33" customFormat="1" x14ac:dyDescent="0.25">
      <c r="I508" s="55"/>
      <c r="J508" s="55"/>
      <c r="K508" s="55"/>
      <c r="L508" s="55"/>
    </row>
    <row r="509" spans="9:12" s="33" customFormat="1" x14ac:dyDescent="0.25">
      <c r="I509" s="55"/>
      <c r="J509" s="55"/>
      <c r="K509" s="55"/>
      <c r="L509" s="55"/>
    </row>
    <row r="510" spans="9:12" s="33" customFormat="1" x14ac:dyDescent="0.25">
      <c r="I510" s="55"/>
      <c r="J510" s="55"/>
      <c r="K510" s="55"/>
      <c r="L510" s="55"/>
    </row>
    <row r="511" spans="9:12" s="33" customFormat="1" x14ac:dyDescent="0.25">
      <c r="I511" s="55"/>
      <c r="J511" s="55"/>
      <c r="K511" s="55"/>
      <c r="L511" s="55"/>
    </row>
    <row r="512" spans="9:12" s="33" customFormat="1" x14ac:dyDescent="0.25">
      <c r="I512" s="55"/>
      <c r="J512" s="55"/>
      <c r="K512" s="55"/>
      <c r="L512" s="55"/>
    </row>
    <row r="513" spans="9:12" s="33" customFormat="1" x14ac:dyDescent="0.25">
      <c r="I513" s="55"/>
      <c r="J513" s="55"/>
      <c r="K513" s="55"/>
      <c r="L513" s="55"/>
    </row>
    <row r="514" spans="9:12" s="33" customFormat="1" x14ac:dyDescent="0.25">
      <c r="I514" s="55"/>
      <c r="J514" s="55"/>
      <c r="K514" s="55"/>
      <c r="L514" s="55"/>
    </row>
    <row r="515" spans="9:12" s="33" customFormat="1" x14ac:dyDescent="0.25">
      <c r="I515" s="55"/>
      <c r="J515" s="55"/>
      <c r="K515" s="55"/>
      <c r="L515" s="55"/>
    </row>
    <row r="516" spans="9:12" s="33" customFormat="1" x14ac:dyDescent="0.25">
      <c r="I516" s="55"/>
      <c r="J516" s="55"/>
      <c r="K516" s="55"/>
      <c r="L516" s="55"/>
    </row>
    <row r="517" spans="9:12" s="33" customFormat="1" x14ac:dyDescent="0.25">
      <c r="I517" s="55"/>
      <c r="J517" s="55"/>
      <c r="K517" s="55"/>
      <c r="L517" s="55"/>
    </row>
    <row r="518" spans="9:12" s="33" customFormat="1" x14ac:dyDescent="0.25">
      <c r="I518" s="55"/>
      <c r="J518" s="55"/>
      <c r="K518" s="55"/>
      <c r="L518" s="55"/>
    </row>
    <row r="519" spans="9:12" s="33" customFormat="1" x14ac:dyDescent="0.25">
      <c r="I519" s="55"/>
      <c r="J519" s="55"/>
      <c r="K519" s="55"/>
      <c r="L519" s="55"/>
    </row>
    <row r="520" spans="9:12" s="33" customFormat="1" x14ac:dyDescent="0.25">
      <c r="I520" s="55"/>
      <c r="J520" s="55"/>
      <c r="K520" s="55"/>
      <c r="L520" s="55"/>
    </row>
    <row r="521" spans="9:12" s="33" customFormat="1" x14ac:dyDescent="0.25">
      <c r="I521" s="55"/>
      <c r="J521" s="55"/>
      <c r="K521" s="55"/>
      <c r="L521" s="55"/>
    </row>
    <row r="522" spans="9:12" s="33" customFormat="1" x14ac:dyDescent="0.25">
      <c r="I522" s="55"/>
      <c r="J522" s="55"/>
      <c r="K522" s="55"/>
      <c r="L522" s="55"/>
    </row>
    <row r="523" spans="9:12" s="33" customFormat="1" x14ac:dyDescent="0.25">
      <c r="I523" s="55"/>
      <c r="J523" s="55"/>
      <c r="K523" s="55"/>
      <c r="L523" s="55"/>
    </row>
    <row r="524" spans="9:12" s="33" customFormat="1" x14ac:dyDescent="0.25">
      <c r="I524" s="55"/>
      <c r="J524" s="55"/>
      <c r="K524" s="55"/>
      <c r="L524" s="55"/>
    </row>
    <row r="525" spans="9:12" s="33" customFormat="1" x14ac:dyDescent="0.25">
      <c r="I525" s="55"/>
      <c r="J525" s="55"/>
      <c r="K525" s="55"/>
      <c r="L525" s="55"/>
    </row>
    <row r="526" spans="9:12" s="33" customFormat="1" x14ac:dyDescent="0.25">
      <c r="I526" s="55"/>
      <c r="J526" s="55"/>
      <c r="K526" s="55"/>
      <c r="L526" s="55"/>
    </row>
    <row r="527" spans="9:12" s="33" customFormat="1" x14ac:dyDescent="0.25">
      <c r="I527" s="55"/>
      <c r="J527" s="55"/>
      <c r="K527" s="55"/>
      <c r="L527" s="55"/>
    </row>
    <row r="528" spans="9:12" s="33" customFormat="1" x14ac:dyDescent="0.25">
      <c r="I528" s="55"/>
      <c r="J528" s="55"/>
      <c r="K528" s="55"/>
      <c r="L528" s="55"/>
    </row>
    <row r="529" spans="9:12" s="33" customFormat="1" x14ac:dyDescent="0.25">
      <c r="I529" s="55"/>
      <c r="J529" s="55"/>
      <c r="K529" s="55"/>
      <c r="L529" s="55"/>
    </row>
    <row r="530" spans="9:12" s="33" customFormat="1" x14ac:dyDescent="0.25">
      <c r="I530" s="55"/>
      <c r="J530" s="55"/>
      <c r="K530" s="55"/>
      <c r="L530" s="55"/>
    </row>
    <row r="531" spans="9:12" s="33" customFormat="1" x14ac:dyDescent="0.25">
      <c r="I531" s="55"/>
      <c r="J531" s="55"/>
      <c r="K531" s="55"/>
      <c r="L531" s="55"/>
    </row>
    <row r="532" spans="9:12" s="33" customFormat="1" x14ac:dyDescent="0.25">
      <c r="I532" s="55"/>
      <c r="J532" s="55"/>
      <c r="K532" s="55"/>
      <c r="L532" s="55"/>
    </row>
    <row r="533" spans="9:12" s="33" customFormat="1" x14ac:dyDescent="0.25">
      <c r="I533" s="55"/>
      <c r="J533" s="55"/>
      <c r="K533" s="55"/>
      <c r="L533" s="55"/>
    </row>
    <row r="534" spans="9:12" s="33" customFormat="1" x14ac:dyDescent="0.25">
      <c r="I534" s="55"/>
      <c r="J534" s="55"/>
      <c r="K534" s="55"/>
      <c r="L534" s="55"/>
    </row>
    <row r="535" spans="9:12" s="33" customFormat="1" x14ac:dyDescent="0.25">
      <c r="I535" s="55"/>
      <c r="J535" s="55"/>
      <c r="K535" s="55"/>
      <c r="L535" s="55"/>
    </row>
    <row r="536" spans="9:12" s="33" customFormat="1" x14ac:dyDescent="0.25">
      <c r="I536" s="55"/>
      <c r="J536" s="55"/>
      <c r="K536" s="55"/>
      <c r="L536" s="55"/>
    </row>
    <row r="537" spans="9:12" s="33" customFormat="1" x14ac:dyDescent="0.25">
      <c r="I537" s="55"/>
      <c r="J537" s="55"/>
      <c r="K537" s="55"/>
      <c r="L537" s="55"/>
    </row>
    <row r="538" spans="9:12" s="33" customFormat="1" x14ac:dyDescent="0.25">
      <c r="I538" s="55"/>
      <c r="J538" s="55"/>
      <c r="K538" s="55"/>
      <c r="L538" s="55"/>
    </row>
    <row r="539" spans="9:12" s="33" customFormat="1" x14ac:dyDescent="0.25">
      <c r="I539" s="55"/>
      <c r="J539" s="55"/>
      <c r="K539" s="55"/>
      <c r="L539" s="55"/>
    </row>
    <row r="540" spans="9:12" s="33" customFormat="1" x14ac:dyDescent="0.25">
      <c r="I540" s="55"/>
      <c r="J540" s="55"/>
      <c r="K540" s="55"/>
      <c r="L540" s="55"/>
    </row>
    <row r="541" spans="9:12" s="33" customFormat="1" x14ac:dyDescent="0.25">
      <c r="I541" s="55"/>
      <c r="J541" s="55"/>
      <c r="K541" s="55"/>
      <c r="L541" s="55"/>
    </row>
    <row r="542" spans="9:12" s="33" customFormat="1" x14ac:dyDescent="0.25">
      <c r="I542" s="55"/>
      <c r="J542" s="55"/>
      <c r="K542" s="55"/>
      <c r="L542" s="55"/>
    </row>
    <row r="543" spans="9:12" s="33" customFormat="1" x14ac:dyDescent="0.25">
      <c r="I543" s="55"/>
      <c r="J543" s="55"/>
      <c r="K543" s="55"/>
      <c r="L543" s="55"/>
    </row>
    <row r="544" spans="9:12" s="33" customFormat="1" x14ac:dyDescent="0.25">
      <c r="I544" s="55"/>
      <c r="J544" s="55"/>
      <c r="K544" s="55"/>
      <c r="L544" s="55"/>
    </row>
    <row r="545" spans="9:12" s="33" customFormat="1" x14ac:dyDescent="0.25">
      <c r="I545" s="55"/>
      <c r="J545" s="55"/>
      <c r="K545" s="55"/>
      <c r="L545" s="55"/>
    </row>
    <row r="546" spans="9:12" s="33" customFormat="1" x14ac:dyDescent="0.25">
      <c r="I546" s="55"/>
      <c r="J546" s="55"/>
      <c r="K546" s="55"/>
      <c r="L546" s="55"/>
    </row>
    <row r="547" spans="9:12" s="33" customFormat="1" x14ac:dyDescent="0.25">
      <c r="I547" s="55"/>
      <c r="J547" s="55"/>
      <c r="K547" s="55"/>
      <c r="L547" s="55"/>
    </row>
    <row r="548" spans="9:12" s="33" customFormat="1" x14ac:dyDescent="0.25">
      <c r="I548" s="55"/>
      <c r="J548" s="55"/>
      <c r="K548" s="55"/>
      <c r="L548" s="55"/>
    </row>
    <row r="549" spans="9:12" s="33" customFormat="1" x14ac:dyDescent="0.25">
      <c r="I549" s="55"/>
      <c r="J549" s="55"/>
      <c r="K549" s="55"/>
      <c r="L549" s="55"/>
    </row>
    <row r="550" spans="9:12" s="33" customFormat="1" x14ac:dyDescent="0.25">
      <c r="I550" s="55"/>
      <c r="J550" s="55"/>
      <c r="K550" s="55"/>
      <c r="L550" s="55"/>
    </row>
    <row r="551" spans="9:12" s="33" customFormat="1" x14ac:dyDescent="0.25">
      <c r="I551" s="55"/>
      <c r="J551" s="55"/>
      <c r="K551" s="55"/>
      <c r="L551" s="55"/>
    </row>
    <row r="552" spans="9:12" s="33" customFormat="1" x14ac:dyDescent="0.25">
      <c r="I552" s="55"/>
      <c r="J552" s="55"/>
      <c r="K552" s="55"/>
      <c r="L552" s="55"/>
    </row>
    <row r="553" spans="9:12" s="33" customFormat="1" x14ac:dyDescent="0.25">
      <c r="I553" s="55"/>
      <c r="J553" s="55"/>
      <c r="K553" s="55"/>
      <c r="L553" s="55"/>
    </row>
    <row r="554" spans="9:12" s="33" customFormat="1" x14ac:dyDescent="0.25">
      <c r="I554" s="55"/>
      <c r="J554" s="55"/>
      <c r="K554" s="55"/>
      <c r="L554" s="55"/>
    </row>
    <row r="555" spans="9:12" s="33" customFormat="1" x14ac:dyDescent="0.25">
      <c r="I555" s="55"/>
      <c r="J555" s="55"/>
      <c r="K555" s="55"/>
      <c r="L555" s="55"/>
    </row>
    <row r="556" spans="9:12" s="33" customFormat="1" x14ac:dyDescent="0.25">
      <c r="I556" s="55"/>
      <c r="J556" s="55"/>
      <c r="K556" s="55"/>
      <c r="L556" s="55"/>
    </row>
    <row r="557" spans="9:12" s="33" customFormat="1" x14ac:dyDescent="0.25">
      <c r="I557" s="55"/>
      <c r="J557" s="55"/>
      <c r="K557" s="55"/>
      <c r="L557" s="55"/>
    </row>
    <row r="558" spans="9:12" s="33" customFormat="1" x14ac:dyDescent="0.25">
      <c r="I558" s="55"/>
      <c r="J558" s="55"/>
      <c r="K558" s="55"/>
      <c r="L558" s="55"/>
    </row>
    <row r="559" spans="9:12" s="33" customFormat="1" x14ac:dyDescent="0.25">
      <c r="I559" s="55"/>
      <c r="J559" s="55"/>
      <c r="K559" s="55"/>
      <c r="L559" s="55"/>
    </row>
    <row r="560" spans="9:12" s="33" customFormat="1" x14ac:dyDescent="0.25">
      <c r="I560" s="55"/>
      <c r="J560" s="55"/>
      <c r="K560" s="55"/>
      <c r="L560" s="55"/>
    </row>
    <row r="561" spans="9:12" s="33" customFormat="1" x14ac:dyDescent="0.25">
      <c r="I561" s="55"/>
      <c r="J561" s="55"/>
      <c r="K561" s="55"/>
      <c r="L561" s="55"/>
    </row>
    <row r="562" spans="9:12" s="33" customFormat="1" x14ac:dyDescent="0.25">
      <c r="I562" s="55"/>
      <c r="J562" s="55"/>
      <c r="K562" s="55"/>
      <c r="L562" s="55"/>
    </row>
    <row r="563" spans="9:12" s="33" customFormat="1" x14ac:dyDescent="0.25">
      <c r="I563" s="55"/>
      <c r="J563" s="55"/>
      <c r="K563" s="55"/>
      <c r="L563" s="55"/>
    </row>
    <row r="564" spans="9:12" s="33" customFormat="1" x14ac:dyDescent="0.25">
      <c r="I564" s="55"/>
      <c r="J564" s="55"/>
      <c r="K564" s="55"/>
      <c r="L564" s="55"/>
    </row>
    <row r="565" spans="9:12" s="33" customFormat="1" x14ac:dyDescent="0.25">
      <c r="I565" s="55"/>
      <c r="J565" s="55"/>
      <c r="K565" s="55"/>
      <c r="L565" s="55"/>
    </row>
    <row r="566" spans="9:12" s="33" customFormat="1" x14ac:dyDescent="0.25">
      <c r="I566" s="55"/>
      <c r="J566" s="55"/>
      <c r="K566" s="55"/>
      <c r="L566" s="55"/>
    </row>
    <row r="567" spans="9:12" s="33" customFormat="1" x14ac:dyDescent="0.25">
      <c r="I567" s="55"/>
      <c r="J567" s="55"/>
      <c r="K567" s="55"/>
      <c r="L567" s="55"/>
    </row>
    <row r="568" spans="9:12" s="33" customFormat="1" x14ac:dyDescent="0.25">
      <c r="I568" s="55"/>
      <c r="J568" s="55"/>
      <c r="K568" s="55"/>
      <c r="L568" s="55"/>
    </row>
    <row r="569" spans="9:12" s="33" customFormat="1" x14ac:dyDescent="0.25">
      <c r="I569" s="55"/>
      <c r="J569" s="55"/>
      <c r="K569" s="55"/>
      <c r="L569" s="55"/>
    </row>
    <row r="570" spans="9:12" s="33" customFormat="1" x14ac:dyDescent="0.25">
      <c r="I570" s="55"/>
      <c r="J570" s="55"/>
      <c r="K570" s="55"/>
      <c r="L570" s="55"/>
    </row>
    <row r="571" spans="9:12" s="33" customFormat="1" x14ac:dyDescent="0.25">
      <c r="I571" s="55"/>
      <c r="J571" s="55"/>
      <c r="K571" s="55"/>
      <c r="L571" s="55"/>
    </row>
    <row r="572" spans="9:12" s="33" customFormat="1" x14ac:dyDescent="0.25">
      <c r="I572" s="55"/>
      <c r="J572" s="55"/>
      <c r="K572" s="55"/>
      <c r="L572" s="55"/>
    </row>
    <row r="573" spans="9:12" s="33" customFormat="1" x14ac:dyDescent="0.25">
      <c r="I573" s="55"/>
      <c r="J573" s="55"/>
      <c r="K573" s="55"/>
      <c r="L573" s="55"/>
    </row>
    <row r="574" spans="9:12" s="33" customFormat="1" x14ac:dyDescent="0.25">
      <c r="I574" s="55"/>
      <c r="J574" s="55"/>
      <c r="K574" s="55"/>
      <c r="L574" s="55"/>
    </row>
    <row r="575" spans="9:12" s="33" customFormat="1" x14ac:dyDescent="0.25">
      <c r="I575" s="55"/>
      <c r="J575" s="55"/>
      <c r="K575" s="55"/>
      <c r="L575" s="55"/>
    </row>
    <row r="576" spans="9:12" s="33" customFormat="1" x14ac:dyDescent="0.25">
      <c r="I576" s="55"/>
      <c r="J576" s="55"/>
      <c r="K576" s="55"/>
      <c r="L576" s="55"/>
    </row>
    <row r="577" spans="9:12" s="33" customFormat="1" x14ac:dyDescent="0.25">
      <c r="I577" s="55"/>
      <c r="J577" s="55"/>
      <c r="K577" s="55"/>
      <c r="L577" s="55"/>
    </row>
    <row r="578" spans="9:12" s="33" customFormat="1" x14ac:dyDescent="0.25">
      <c r="I578" s="55"/>
      <c r="J578" s="55"/>
      <c r="K578" s="55"/>
      <c r="L578" s="55"/>
    </row>
    <row r="579" spans="9:12" s="33" customFormat="1" x14ac:dyDescent="0.25">
      <c r="I579" s="55"/>
      <c r="J579" s="55"/>
      <c r="K579" s="55"/>
      <c r="L579" s="55"/>
    </row>
    <row r="580" spans="9:12" s="33" customFormat="1" x14ac:dyDescent="0.25">
      <c r="I580" s="55"/>
      <c r="J580" s="55"/>
      <c r="K580" s="55"/>
      <c r="L580" s="55"/>
    </row>
    <row r="581" spans="9:12" s="33" customFormat="1" x14ac:dyDescent="0.25">
      <c r="I581" s="55"/>
      <c r="J581" s="55"/>
      <c r="K581" s="55"/>
      <c r="L581" s="55"/>
    </row>
    <row r="582" spans="9:12" s="33" customFormat="1" x14ac:dyDescent="0.25">
      <c r="I582" s="55"/>
      <c r="J582" s="55"/>
      <c r="K582" s="55"/>
      <c r="L582" s="55"/>
    </row>
    <row r="583" spans="9:12" s="33" customFormat="1" x14ac:dyDescent="0.25">
      <c r="I583" s="55"/>
      <c r="J583" s="55"/>
      <c r="K583" s="55"/>
      <c r="L583" s="55"/>
    </row>
    <row r="584" spans="9:12" s="33" customFormat="1" x14ac:dyDescent="0.25">
      <c r="I584" s="55"/>
      <c r="J584" s="55"/>
      <c r="K584" s="55"/>
      <c r="L584" s="55"/>
    </row>
    <row r="585" spans="9:12" s="33" customFormat="1" x14ac:dyDescent="0.25">
      <c r="I585" s="55"/>
      <c r="J585" s="55"/>
      <c r="K585" s="55"/>
      <c r="L585" s="55"/>
    </row>
    <row r="586" spans="9:12" s="33" customFormat="1" x14ac:dyDescent="0.25">
      <c r="I586" s="55"/>
      <c r="J586" s="55"/>
      <c r="K586" s="55"/>
      <c r="L586" s="55"/>
    </row>
    <row r="587" spans="9:12" s="33" customFormat="1" x14ac:dyDescent="0.25">
      <c r="I587" s="55"/>
      <c r="J587" s="55"/>
      <c r="K587" s="55"/>
      <c r="L587" s="55"/>
    </row>
    <row r="588" spans="9:12" s="33" customFormat="1" x14ac:dyDescent="0.25">
      <c r="I588" s="55"/>
      <c r="J588" s="55"/>
      <c r="K588" s="55"/>
      <c r="L588" s="55"/>
    </row>
    <row r="589" spans="9:12" s="33" customFormat="1" x14ac:dyDescent="0.25">
      <c r="I589" s="55"/>
      <c r="J589" s="55"/>
      <c r="K589" s="55"/>
      <c r="L589" s="55"/>
    </row>
    <row r="590" spans="9:12" s="33" customFormat="1" x14ac:dyDescent="0.25">
      <c r="I590" s="55"/>
      <c r="J590" s="55"/>
      <c r="K590" s="55"/>
      <c r="L590" s="55"/>
    </row>
    <row r="591" spans="9:12" s="33" customFormat="1" x14ac:dyDescent="0.25">
      <c r="I591" s="55"/>
      <c r="J591" s="55"/>
      <c r="K591" s="55"/>
      <c r="L591" s="55"/>
    </row>
    <row r="592" spans="9:12" s="33" customFormat="1" x14ac:dyDescent="0.25">
      <c r="I592" s="55"/>
      <c r="J592" s="55"/>
      <c r="K592" s="55"/>
      <c r="L592" s="55"/>
    </row>
    <row r="593" spans="9:12" s="33" customFormat="1" x14ac:dyDescent="0.25">
      <c r="I593" s="55"/>
      <c r="J593" s="55"/>
      <c r="K593" s="55"/>
      <c r="L593" s="55"/>
    </row>
    <row r="594" spans="9:12" s="33" customFormat="1" x14ac:dyDescent="0.25">
      <c r="I594" s="55"/>
      <c r="J594" s="55"/>
      <c r="K594" s="55"/>
      <c r="L594" s="55"/>
    </row>
    <row r="595" spans="9:12" s="33" customFormat="1" x14ac:dyDescent="0.25">
      <c r="I595" s="55"/>
      <c r="J595" s="55"/>
      <c r="K595" s="55"/>
      <c r="L595" s="55"/>
    </row>
    <row r="596" spans="9:12" s="33" customFormat="1" x14ac:dyDescent="0.25">
      <c r="I596" s="55"/>
      <c r="J596" s="55"/>
      <c r="K596" s="55"/>
      <c r="L596" s="55"/>
    </row>
    <row r="597" spans="9:12" s="33" customFormat="1" x14ac:dyDescent="0.25">
      <c r="I597" s="55"/>
      <c r="J597" s="55"/>
      <c r="K597" s="55"/>
      <c r="L597" s="55"/>
    </row>
    <row r="598" spans="9:12" s="33" customFormat="1" x14ac:dyDescent="0.25">
      <c r="I598" s="55"/>
      <c r="J598" s="55"/>
      <c r="K598" s="55"/>
      <c r="L598" s="55"/>
    </row>
    <row r="599" spans="9:12" s="33" customFormat="1" x14ac:dyDescent="0.25">
      <c r="I599" s="55"/>
      <c r="J599" s="55"/>
      <c r="K599" s="55"/>
      <c r="L599" s="55"/>
    </row>
    <row r="600" spans="9:12" s="33" customFormat="1" x14ac:dyDescent="0.25">
      <c r="I600" s="55"/>
      <c r="J600" s="55"/>
      <c r="K600" s="55"/>
      <c r="L600" s="55"/>
    </row>
    <row r="601" spans="9:12" s="33" customFormat="1" x14ac:dyDescent="0.25">
      <c r="I601" s="55"/>
      <c r="J601" s="55"/>
      <c r="K601" s="55"/>
      <c r="L601" s="55"/>
    </row>
    <row r="602" spans="9:12" s="33" customFormat="1" x14ac:dyDescent="0.25">
      <c r="I602" s="55"/>
      <c r="J602" s="55"/>
      <c r="K602" s="55"/>
      <c r="L602" s="55"/>
    </row>
    <row r="603" spans="9:12" s="33" customFormat="1" x14ac:dyDescent="0.25">
      <c r="I603" s="55"/>
      <c r="J603" s="55"/>
      <c r="K603" s="55"/>
      <c r="L603" s="55"/>
    </row>
    <row r="604" spans="9:12" s="33" customFormat="1" x14ac:dyDescent="0.25">
      <c r="I604" s="55"/>
      <c r="J604" s="55"/>
      <c r="K604" s="55"/>
      <c r="L604" s="55"/>
    </row>
    <row r="605" spans="9:12" s="33" customFormat="1" x14ac:dyDescent="0.25">
      <c r="I605" s="55"/>
      <c r="J605" s="55"/>
      <c r="K605" s="55"/>
      <c r="L605" s="55"/>
    </row>
    <row r="606" spans="9:12" s="33" customFormat="1" x14ac:dyDescent="0.25">
      <c r="I606" s="55"/>
      <c r="J606" s="55"/>
      <c r="K606" s="55"/>
      <c r="L606" s="55"/>
    </row>
    <row r="607" spans="9:12" s="33" customFormat="1" x14ac:dyDescent="0.25">
      <c r="I607" s="55"/>
      <c r="J607" s="55"/>
      <c r="K607" s="55"/>
      <c r="L607" s="55"/>
    </row>
    <row r="608" spans="9:12" s="33" customFormat="1" x14ac:dyDescent="0.25">
      <c r="I608" s="55"/>
      <c r="J608" s="55"/>
      <c r="K608" s="55"/>
      <c r="L608" s="55"/>
    </row>
    <row r="609" spans="9:12" s="33" customFormat="1" x14ac:dyDescent="0.25">
      <c r="I609" s="55"/>
      <c r="J609" s="55"/>
      <c r="K609" s="55"/>
      <c r="L609" s="55"/>
    </row>
    <row r="610" spans="9:12" s="33" customFormat="1" x14ac:dyDescent="0.25">
      <c r="I610" s="55"/>
      <c r="J610" s="55"/>
      <c r="K610" s="55"/>
      <c r="L610" s="55"/>
    </row>
    <row r="611" spans="9:12" s="33" customFormat="1" x14ac:dyDescent="0.25">
      <c r="I611" s="55"/>
      <c r="J611" s="55"/>
      <c r="K611" s="55"/>
      <c r="L611" s="55"/>
    </row>
    <row r="612" spans="9:12" s="33" customFormat="1" x14ac:dyDescent="0.25">
      <c r="I612" s="55"/>
      <c r="J612" s="55"/>
      <c r="K612" s="55"/>
      <c r="L612" s="55"/>
    </row>
    <row r="613" spans="9:12" s="33" customFormat="1" x14ac:dyDescent="0.25">
      <c r="I613" s="55"/>
      <c r="J613" s="55"/>
      <c r="K613" s="55"/>
      <c r="L613" s="55"/>
    </row>
    <row r="614" spans="9:12" s="33" customFormat="1" x14ac:dyDescent="0.25">
      <c r="I614" s="55"/>
      <c r="J614" s="55"/>
      <c r="K614" s="55"/>
      <c r="L614" s="55"/>
    </row>
    <row r="615" spans="9:12" s="33" customFormat="1" x14ac:dyDescent="0.25">
      <c r="I615" s="55"/>
      <c r="J615" s="55"/>
      <c r="K615" s="55"/>
      <c r="L615" s="55"/>
    </row>
    <row r="616" spans="9:12" s="33" customFormat="1" x14ac:dyDescent="0.25">
      <c r="I616" s="55"/>
      <c r="J616" s="55"/>
      <c r="K616" s="55"/>
      <c r="L616" s="55"/>
    </row>
    <row r="617" spans="9:12" s="33" customFormat="1" x14ac:dyDescent="0.25">
      <c r="I617" s="55"/>
      <c r="J617" s="55"/>
      <c r="K617" s="55"/>
      <c r="L617" s="55"/>
    </row>
    <row r="618" spans="9:12" s="33" customFormat="1" x14ac:dyDescent="0.25">
      <c r="I618" s="55"/>
      <c r="J618" s="55"/>
      <c r="K618" s="55"/>
      <c r="L618" s="55"/>
    </row>
    <row r="619" spans="9:12" s="33" customFormat="1" x14ac:dyDescent="0.25">
      <c r="I619" s="55"/>
      <c r="J619" s="55"/>
      <c r="K619" s="55"/>
      <c r="L619" s="55"/>
    </row>
    <row r="620" spans="9:12" s="33" customFormat="1" x14ac:dyDescent="0.25">
      <c r="I620" s="55"/>
      <c r="J620" s="55"/>
      <c r="K620" s="55"/>
      <c r="L620" s="55"/>
    </row>
    <row r="621" spans="9:12" s="33" customFormat="1" x14ac:dyDescent="0.25">
      <c r="I621" s="55"/>
      <c r="J621" s="55"/>
      <c r="K621" s="55"/>
      <c r="L621" s="55"/>
    </row>
    <row r="622" spans="9:12" s="33" customFormat="1" x14ac:dyDescent="0.25">
      <c r="I622" s="55"/>
      <c r="J622" s="55"/>
      <c r="K622" s="55"/>
      <c r="L622" s="55"/>
    </row>
    <row r="623" spans="9:12" s="33" customFormat="1" x14ac:dyDescent="0.25">
      <c r="I623" s="55"/>
      <c r="J623" s="55"/>
      <c r="K623" s="55"/>
      <c r="L623" s="55"/>
    </row>
    <row r="624" spans="9:12" s="33" customFormat="1" x14ac:dyDescent="0.25">
      <c r="I624" s="55"/>
      <c r="J624" s="55"/>
      <c r="K624" s="55"/>
      <c r="L624" s="55"/>
    </row>
    <row r="625" spans="9:12" s="33" customFormat="1" x14ac:dyDescent="0.25">
      <c r="I625" s="55"/>
      <c r="J625" s="55"/>
      <c r="K625" s="55"/>
      <c r="L625" s="55"/>
    </row>
    <row r="626" spans="9:12" s="33" customFormat="1" x14ac:dyDescent="0.25">
      <c r="I626" s="55"/>
      <c r="J626" s="55"/>
      <c r="K626" s="55"/>
      <c r="L626" s="55"/>
    </row>
    <row r="627" spans="9:12" s="33" customFormat="1" x14ac:dyDescent="0.25">
      <c r="I627" s="55"/>
      <c r="J627" s="55"/>
      <c r="K627" s="55"/>
      <c r="L627" s="55"/>
    </row>
    <row r="628" spans="9:12" s="33" customFormat="1" x14ac:dyDescent="0.25">
      <c r="I628" s="55"/>
      <c r="J628" s="55"/>
      <c r="K628" s="55"/>
      <c r="L628" s="55"/>
    </row>
    <row r="629" spans="9:12" s="33" customFormat="1" x14ac:dyDescent="0.25">
      <c r="I629" s="55"/>
      <c r="J629" s="55"/>
      <c r="K629" s="55"/>
      <c r="L629" s="55"/>
    </row>
    <row r="630" spans="9:12" s="33" customFormat="1" x14ac:dyDescent="0.25">
      <c r="I630" s="55"/>
      <c r="J630" s="55"/>
      <c r="K630" s="55"/>
      <c r="L630" s="55"/>
    </row>
    <row r="631" spans="9:12" s="33" customFormat="1" x14ac:dyDescent="0.25">
      <c r="I631" s="55"/>
      <c r="J631" s="55"/>
      <c r="K631" s="55"/>
      <c r="L631" s="55"/>
    </row>
    <row r="632" spans="9:12" s="33" customFormat="1" x14ac:dyDescent="0.25">
      <c r="I632" s="55"/>
      <c r="J632" s="55"/>
      <c r="K632" s="55"/>
      <c r="L632" s="55"/>
    </row>
    <row r="633" spans="9:12" s="33" customFormat="1" x14ac:dyDescent="0.25">
      <c r="I633" s="55"/>
      <c r="J633" s="55"/>
      <c r="K633" s="55"/>
      <c r="L633" s="55"/>
    </row>
    <row r="634" spans="9:12" s="33" customFormat="1" x14ac:dyDescent="0.25">
      <c r="I634" s="55"/>
      <c r="J634" s="55"/>
      <c r="K634" s="55"/>
      <c r="L634" s="55"/>
    </row>
    <row r="635" spans="9:12" s="33" customFormat="1" x14ac:dyDescent="0.25">
      <c r="I635" s="55"/>
      <c r="J635" s="55"/>
      <c r="K635" s="55"/>
      <c r="L635" s="55"/>
    </row>
    <row r="636" spans="9:12" s="33" customFormat="1" x14ac:dyDescent="0.25">
      <c r="I636" s="55"/>
      <c r="J636" s="55"/>
      <c r="K636" s="55"/>
      <c r="L636" s="55"/>
    </row>
    <row r="637" spans="9:12" s="33" customFormat="1" x14ac:dyDescent="0.25">
      <c r="I637" s="55"/>
      <c r="J637" s="55"/>
      <c r="K637" s="55"/>
      <c r="L637" s="55"/>
    </row>
    <row r="638" spans="9:12" s="33" customFormat="1" x14ac:dyDescent="0.25">
      <c r="I638" s="55"/>
      <c r="J638" s="55"/>
      <c r="K638" s="55"/>
      <c r="L638" s="55"/>
    </row>
    <row r="639" spans="9:12" s="33" customFormat="1" x14ac:dyDescent="0.25">
      <c r="I639" s="55"/>
      <c r="J639" s="55"/>
      <c r="K639" s="55"/>
      <c r="L639" s="55"/>
    </row>
    <row r="640" spans="9:12" s="33" customFormat="1" x14ac:dyDescent="0.25">
      <c r="I640" s="55"/>
      <c r="J640" s="55"/>
      <c r="K640" s="55"/>
      <c r="L640" s="55"/>
    </row>
    <row r="641" spans="9:12" s="33" customFormat="1" x14ac:dyDescent="0.25">
      <c r="I641" s="55"/>
      <c r="J641" s="55"/>
      <c r="K641" s="55"/>
      <c r="L641" s="55"/>
    </row>
    <row r="642" spans="9:12" s="33" customFormat="1" x14ac:dyDescent="0.25">
      <c r="I642" s="55"/>
      <c r="J642" s="55"/>
      <c r="K642" s="55"/>
      <c r="L642" s="55"/>
    </row>
    <row r="643" spans="9:12" s="33" customFormat="1" x14ac:dyDescent="0.25">
      <c r="I643" s="55"/>
      <c r="J643" s="55"/>
      <c r="K643" s="55"/>
      <c r="L643" s="55"/>
    </row>
    <row r="644" spans="9:12" s="33" customFormat="1" x14ac:dyDescent="0.25">
      <c r="I644" s="55"/>
      <c r="J644" s="55"/>
      <c r="K644" s="55"/>
      <c r="L644" s="55"/>
    </row>
    <row r="645" spans="9:12" s="33" customFormat="1" x14ac:dyDescent="0.25">
      <c r="I645" s="55"/>
      <c r="J645" s="55"/>
      <c r="K645" s="55"/>
      <c r="L645" s="55"/>
    </row>
    <row r="646" spans="9:12" s="33" customFormat="1" x14ac:dyDescent="0.25">
      <c r="I646" s="55"/>
      <c r="J646" s="55"/>
      <c r="K646" s="55"/>
      <c r="L646" s="55"/>
    </row>
    <row r="647" spans="9:12" s="33" customFormat="1" x14ac:dyDescent="0.25">
      <c r="I647" s="55"/>
      <c r="J647" s="55"/>
      <c r="K647" s="55"/>
      <c r="L647" s="55"/>
    </row>
    <row r="648" spans="9:12" s="33" customFormat="1" x14ac:dyDescent="0.25">
      <c r="I648" s="55"/>
      <c r="J648" s="55"/>
      <c r="K648" s="55"/>
      <c r="L648" s="55"/>
    </row>
    <row r="649" spans="9:12" s="33" customFormat="1" x14ac:dyDescent="0.25">
      <c r="I649" s="55"/>
      <c r="J649" s="55"/>
      <c r="K649" s="55"/>
      <c r="L649" s="55"/>
    </row>
    <row r="650" spans="9:12" s="33" customFormat="1" x14ac:dyDescent="0.25">
      <c r="I650" s="55"/>
      <c r="J650" s="55"/>
      <c r="K650" s="55"/>
      <c r="L650" s="55"/>
    </row>
    <row r="651" spans="9:12" s="33" customFormat="1" x14ac:dyDescent="0.25">
      <c r="I651" s="55"/>
      <c r="J651" s="55"/>
      <c r="K651" s="55"/>
      <c r="L651" s="55"/>
    </row>
    <row r="652" spans="9:12" s="33" customFormat="1" x14ac:dyDescent="0.25">
      <c r="I652" s="55"/>
      <c r="J652" s="55"/>
      <c r="K652" s="55"/>
      <c r="L652" s="55"/>
    </row>
    <row r="653" spans="9:12" s="33" customFormat="1" x14ac:dyDescent="0.25">
      <c r="I653" s="55"/>
      <c r="J653" s="55"/>
      <c r="K653" s="55"/>
      <c r="L653" s="55"/>
    </row>
    <row r="654" spans="9:12" s="33" customFormat="1" x14ac:dyDescent="0.25">
      <c r="I654" s="55"/>
      <c r="J654" s="55"/>
      <c r="K654" s="55"/>
      <c r="L654" s="55"/>
    </row>
    <row r="655" spans="9:12" s="33" customFormat="1" x14ac:dyDescent="0.25">
      <c r="I655" s="55"/>
      <c r="J655" s="55"/>
      <c r="K655" s="55"/>
      <c r="L655" s="55"/>
    </row>
    <row r="656" spans="9:12" s="33" customFormat="1" x14ac:dyDescent="0.25">
      <c r="I656" s="55"/>
      <c r="J656" s="55"/>
      <c r="K656" s="55"/>
      <c r="L656" s="55"/>
    </row>
    <row r="657" spans="9:12" s="33" customFormat="1" x14ac:dyDescent="0.25">
      <c r="I657" s="55"/>
      <c r="J657" s="55"/>
      <c r="K657" s="55"/>
      <c r="L657" s="55"/>
    </row>
    <row r="658" spans="9:12" s="33" customFormat="1" x14ac:dyDescent="0.25">
      <c r="I658" s="55"/>
      <c r="J658" s="55"/>
      <c r="K658" s="55"/>
      <c r="L658" s="55"/>
    </row>
    <row r="659" spans="9:12" s="33" customFormat="1" x14ac:dyDescent="0.25">
      <c r="I659" s="55"/>
      <c r="J659" s="55"/>
      <c r="K659" s="55"/>
      <c r="L659" s="55"/>
    </row>
    <row r="660" spans="9:12" s="33" customFormat="1" x14ac:dyDescent="0.25">
      <c r="I660" s="55"/>
      <c r="J660" s="55"/>
      <c r="K660" s="55"/>
      <c r="L660" s="55"/>
    </row>
    <row r="661" spans="9:12" s="33" customFormat="1" x14ac:dyDescent="0.25">
      <c r="I661" s="55"/>
      <c r="J661" s="55"/>
      <c r="K661" s="55"/>
      <c r="L661" s="55"/>
    </row>
    <row r="662" spans="9:12" s="33" customFormat="1" x14ac:dyDescent="0.25">
      <c r="I662" s="55"/>
      <c r="J662" s="55"/>
      <c r="K662" s="55"/>
      <c r="L662" s="55"/>
    </row>
    <row r="663" spans="9:12" s="33" customFormat="1" x14ac:dyDescent="0.25">
      <c r="I663" s="55"/>
      <c r="J663" s="55"/>
      <c r="K663" s="55"/>
      <c r="L663" s="55"/>
    </row>
    <row r="664" spans="9:12" s="33" customFormat="1" x14ac:dyDescent="0.25">
      <c r="I664" s="55"/>
      <c r="J664" s="55"/>
      <c r="K664" s="55"/>
      <c r="L664" s="55"/>
    </row>
    <row r="665" spans="9:12" s="33" customFormat="1" x14ac:dyDescent="0.25">
      <c r="I665" s="55"/>
      <c r="J665" s="55"/>
      <c r="K665" s="55"/>
      <c r="L665" s="55"/>
    </row>
    <row r="666" spans="9:12" s="33" customFormat="1" x14ac:dyDescent="0.25">
      <c r="I666" s="55"/>
      <c r="J666" s="55"/>
      <c r="K666" s="55"/>
      <c r="L666" s="55"/>
    </row>
    <row r="667" spans="9:12" s="33" customFormat="1" x14ac:dyDescent="0.25">
      <c r="I667" s="55"/>
      <c r="J667" s="55"/>
      <c r="K667" s="55"/>
      <c r="L667" s="55"/>
    </row>
    <row r="668" spans="9:12" s="33" customFormat="1" x14ac:dyDescent="0.25">
      <c r="I668" s="55"/>
      <c r="J668" s="55"/>
      <c r="K668" s="55"/>
      <c r="L668" s="55"/>
    </row>
    <row r="669" spans="9:12" s="33" customFormat="1" x14ac:dyDescent="0.25">
      <c r="I669" s="55"/>
      <c r="J669" s="55"/>
      <c r="K669" s="55"/>
      <c r="L669" s="55"/>
    </row>
    <row r="670" spans="9:12" s="33" customFormat="1" x14ac:dyDescent="0.25">
      <c r="I670" s="55"/>
      <c r="J670" s="55"/>
      <c r="K670" s="55"/>
      <c r="L670" s="55"/>
    </row>
    <row r="671" spans="9:12" s="33" customFormat="1" x14ac:dyDescent="0.25">
      <c r="I671" s="55"/>
      <c r="J671" s="55"/>
      <c r="K671" s="55"/>
      <c r="L671" s="55"/>
    </row>
    <row r="672" spans="9:12" s="33" customFormat="1" x14ac:dyDescent="0.25">
      <c r="I672" s="55"/>
      <c r="J672" s="55"/>
      <c r="K672" s="55"/>
      <c r="L672" s="55"/>
    </row>
    <row r="673" spans="9:12" s="33" customFormat="1" x14ac:dyDescent="0.25">
      <c r="I673" s="55"/>
      <c r="J673" s="55"/>
      <c r="K673" s="55"/>
      <c r="L673" s="55"/>
    </row>
    <row r="674" spans="9:12" s="33" customFormat="1" x14ac:dyDescent="0.25">
      <c r="I674" s="55"/>
      <c r="J674" s="55"/>
      <c r="K674" s="55"/>
      <c r="L674" s="55"/>
    </row>
    <row r="675" spans="9:12" s="33" customFormat="1" x14ac:dyDescent="0.25">
      <c r="I675" s="55"/>
      <c r="J675" s="55"/>
      <c r="K675" s="55"/>
      <c r="L675" s="55"/>
    </row>
    <row r="676" spans="9:12" s="33" customFormat="1" x14ac:dyDescent="0.25">
      <c r="I676" s="55"/>
      <c r="J676" s="55"/>
      <c r="K676" s="55"/>
      <c r="L676" s="55"/>
    </row>
    <row r="677" spans="9:12" s="33" customFormat="1" x14ac:dyDescent="0.25">
      <c r="I677" s="55"/>
      <c r="J677" s="55"/>
      <c r="K677" s="55"/>
      <c r="L677" s="55"/>
    </row>
    <row r="678" spans="9:12" s="33" customFormat="1" x14ac:dyDescent="0.25">
      <c r="I678" s="55"/>
      <c r="J678" s="55"/>
      <c r="K678" s="55"/>
      <c r="L678" s="55"/>
    </row>
    <row r="679" spans="9:12" s="33" customFormat="1" x14ac:dyDescent="0.25">
      <c r="I679" s="55"/>
      <c r="J679" s="55"/>
      <c r="K679" s="55"/>
      <c r="L679" s="55"/>
    </row>
    <row r="680" spans="9:12" s="33" customFormat="1" x14ac:dyDescent="0.25">
      <c r="I680" s="55"/>
      <c r="J680" s="55"/>
      <c r="K680" s="55"/>
      <c r="L680" s="55"/>
    </row>
    <row r="681" spans="9:12" s="33" customFormat="1" x14ac:dyDescent="0.25">
      <c r="I681" s="55"/>
      <c r="J681" s="55"/>
      <c r="K681" s="55"/>
      <c r="L681" s="55"/>
    </row>
    <row r="682" spans="9:12" s="33" customFormat="1" x14ac:dyDescent="0.25">
      <c r="I682" s="55"/>
      <c r="J682" s="55"/>
      <c r="K682" s="55"/>
      <c r="L682" s="55"/>
    </row>
    <row r="683" spans="9:12" s="33" customFormat="1" x14ac:dyDescent="0.25">
      <c r="I683" s="55"/>
      <c r="J683" s="55"/>
      <c r="K683" s="55"/>
      <c r="L683" s="55"/>
    </row>
    <row r="684" spans="9:12" s="33" customFormat="1" x14ac:dyDescent="0.25">
      <c r="I684" s="55"/>
      <c r="J684" s="55"/>
      <c r="K684" s="55"/>
      <c r="L684" s="55"/>
    </row>
    <row r="685" spans="9:12" s="33" customFormat="1" x14ac:dyDescent="0.25">
      <c r="I685" s="55"/>
      <c r="J685" s="55"/>
      <c r="K685" s="55"/>
      <c r="L685" s="55"/>
    </row>
    <row r="686" spans="9:12" s="33" customFormat="1" x14ac:dyDescent="0.25">
      <c r="I686" s="55"/>
      <c r="J686" s="55"/>
      <c r="K686" s="55"/>
      <c r="L686" s="55"/>
    </row>
    <row r="687" spans="9:12" s="33" customFormat="1" x14ac:dyDescent="0.25">
      <c r="I687" s="55"/>
      <c r="J687" s="55"/>
      <c r="K687" s="55"/>
      <c r="L687" s="55"/>
    </row>
    <row r="688" spans="9:12" s="33" customFormat="1" x14ac:dyDescent="0.25">
      <c r="I688" s="55"/>
      <c r="J688" s="55"/>
      <c r="K688" s="55"/>
      <c r="L688" s="55"/>
    </row>
    <row r="689" spans="9:12" s="33" customFormat="1" x14ac:dyDescent="0.25">
      <c r="I689" s="55"/>
      <c r="J689" s="55"/>
      <c r="K689" s="55"/>
      <c r="L689" s="55"/>
    </row>
    <row r="690" spans="9:12" s="33" customFormat="1" x14ac:dyDescent="0.25">
      <c r="I690" s="55"/>
      <c r="J690" s="55"/>
      <c r="K690" s="55"/>
      <c r="L690" s="55"/>
    </row>
    <row r="691" spans="9:12" s="33" customFormat="1" x14ac:dyDescent="0.25">
      <c r="I691" s="55"/>
      <c r="J691" s="55"/>
      <c r="K691" s="55"/>
      <c r="L691" s="55"/>
    </row>
    <row r="692" spans="9:12" s="33" customFormat="1" x14ac:dyDescent="0.25">
      <c r="I692" s="55"/>
      <c r="J692" s="55"/>
      <c r="K692" s="55"/>
      <c r="L692" s="55"/>
    </row>
    <row r="693" spans="9:12" s="33" customFormat="1" x14ac:dyDescent="0.25">
      <c r="I693" s="55"/>
      <c r="J693" s="55"/>
      <c r="K693" s="55"/>
      <c r="L693" s="55"/>
    </row>
    <row r="694" spans="9:12" s="33" customFormat="1" x14ac:dyDescent="0.25">
      <c r="I694" s="55"/>
      <c r="J694" s="55"/>
      <c r="K694" s="55"/>
      <c r="L694" s="55"/>
    </row>
    <row r="695" spans="9:12" s="33" customFormat="1" x14ac:dyDescent="0.25">
      <c r="I695" s="55"/>
      <c r="J695" s="55"/>
      <c r="K695" s="55"/>
      <c r="L695" s="55"/>
    </row>
    <row r="696" spans="9:12" s="33" customFormat="1" x14ac:dyDescent="0.25">
      <c r="I696" s="55"/>
      <c r="J696" s="55"/>
      <c r="K696" s="55"/>
      <c r="L696" s="55"/>
    </row>
    <row r="697" spans="9:12" s="33" customFormat="1" x14ac:dyDescent="0.25">
      <c r="I697" s="55"/>
      <c r="J697" s="55"/>
      <c r="K697" s="55"/>
      <c r="L697" s="55"/>
    </row>
    <row r="698" spans="9:12" s="33" customFormat="1" x14ac:dyDescent="0.25">
      <c r="I698" s="55"/>
      <c r="J698" s="55"/>
      <c r="K698" s="55"/>
      <c r="L698" s="55"/>
    </row>
    <row r="699" spans="9:12" s="33" customFormat="1" x14ac:dyDescent="0.25">
      <c r="I699" s="55"/>
      <c r="J699" s="55"/>
      <c r="K699" s="55"/>
      <c r="L699" s="55"/>
    </row>
    <row r="700" spans="9:12" s="33" customFormat="1" x14ac:dyDescent="0.25">
      <c r="I700" s="55"/>
      <c r="J700" s="55"/>
      <c r="K700" s="55"/>
      <c r="L700" s="55"/>
    </row>
    <row r="701" spans="9:12" s="33" customFormat="1" x14ac:dyDescent="0.25">
      <c r="I701" s="55"/>
      <c r="J701" s="55"/>
      <c r="K701" s="55"/>
      <c r="L701" s="55"/>
    </row>
    <row r="702" spans="9:12" s="33" customFormat="1" x14ac:dyDescent="0.25">
      <c r="I702" s="55"/>
      <c r="J702" s="55"/>
      <c r="K702" s="55"/>
      <c r="L702" s="55"/>
    </row>
    <row r="703" spans="9:12" s="33" customFormat="1" x14ac:dyDescent="0.25">
      <c r="I703" s="55"/>
      <c r="J703" s="55"/>
      <c r="K703" s="55"/>
      <c r="L703" s="55"/>
    </row>
    <row r="704" spans="9:12" s="33" customFormat="1" x14ac:dyDescent="0.25">
      <c r="I704" s="55"/>
      <c r="J704" s="55"/>
      <c r="K704" s="55"/>
      <c r="L704" s="55"/>
    </row>
    <row r="705" spans="9:12" s="33" customFormat="1" x14ac:dyDescent="0.25">
      <c r="I705" s="55"/>
      <c r="J705" s="55"/>
      <c r="K705" s="55"/>
      <c r="L705" s="55"/>
    </row>
    <row r="706" spans="9:12" s="33" customFormat="1" x14ac:dyDescent="0.25">
      <c r="I706" s="55"/>
      <c r="J706" s="55"/>
      <c r="K706" s="55"/>
      <c r="L706" s="55"/>
    </row>
    <row r="707" spans="9:12" s="33" customFormat="1" x14ac:dyDescent="0.25">
      <c r="I707" s="55"/>
      <c r="J707" s="55"/>
      <c r="K707" s="55"/>
      <c r="L707" s="55"/>
    </row>
    <row r="708" spans="9:12" s="33" customFormat="1" x14ac:dyDescent="0.25">
      <c r="I708" s="55"/>
      <c r="J708" s="55"/>
      <c r="K708" s="55"/>
      <c r="L708" s="55"/>
    </row>
    <row r="709" spans="9:12" s="33" customFormat="1" x14ac:dyDescent="0.25">
      <c r="I709" s="55"/>
      <c r="J709" s="55"/>
      <c r="K709" s="55"/>
      <c r="L709" s="55"/>
    </row>
    <row r="710" spans="9:12" s="33" customFormat="1" x14ac:dyDescent="0.25">
      <c r="I710" s="55"/>
      <c r="J710" s="55"/>
      <c r="K710" s="55"/>
      <c r="L710" s="55"/>
    </row>
    <row r="711" spans="9:12" s="33" customFormat="1" x14ac:dyDescent="0.25">
      <c r="I711" s="55"/>
      <c r="J711" s="55"/>
      <c r="K711" s="55"/>
      <c r="L711" s="55"/>
    </row>
    <row r="712" spans="9:12" s="33" customFormat="1" x14ac:dyDescent="0.25">
      <c r="I712" s="55"/>
      <c r="J712" s="55"/>
      <c r="K712" s="55"/>
      <c r="L712" s="55"/>
    </row>
    <row r="713" spans="9:12" s="33" customFormat="1" x14ac:dyDescent="0.25">
      <c r="I713" s="55"/>
      <c r="J713" s="55"/>
      <c r="K713" s="55"/>
      <c r="L713" s="55"/>
    </row>
    <row r="714" spans="9:12" s="33" customFormat="1" x14ac:dyDescent="0.25">
      <c r="I714" s="55"/>
      <c r="J714" s="55"/>
      <c r="K714" s="55"/>
      <c r="L714" s="55"/>
    </row>
    <row r="715" spans="9:12" s="33" customFormat="1" x14ac:dyDescent="0.25">
      <c r="I715" s="55"/>
      <c r="J715" s="55"/>
      <c r="K715" s="55"/>
      <c r="L715" s="55"/>
    </row>
    <row r="716" spans="9:12" s="33" customFormat="1" x14ac:dyDescent="0.25">
      <c r="I716" s="55"/>
      <c r="J716" s="55"/>
      <c r="K716" s="55"/>
      <c r="L716" s="55"/>
    </row>
    <row r="717" spans="9:12" s="33" customFormat="1" x14ac:dyDescent="0.25">
      <c r="I717" s="55"/>
      <c r="J717" s="55"/>
      <c r="K717" s="55"/>
      <c r="L717" s="55"/>
    </row>
    <row r="718" spans="9:12" s="33" customFormat="1" x14ac:dyDescent="0.25">
      <c r="I718" s="55"/>
      <c r="J718" s="55"/>
      <c r="K718" s="55"/>
      <c r="L718" s="55"/>
    </row>
    <row r="719" spans="9:12" s="33" customFormat="1" x14ac:dyDescent="0.25">
      <c r="I719" s="55"/>
      <c r="J719" s="55"/>
      <c r="K719" s="55"/>
      <c r="L719" s="55"/>
    </row>
    <row r="720" spans="9:12" s="33" customFormat="1" x14ac:dyDescent="0.25">
      <c r="I720" s="55"/>
      <c r="J720" s="55"/>
      <c r="K720" s="55"/>
      <c r="L720" s="55"/>
    </row>
    <row r="721" spans="9:12" s="33" customFormat="1" x14ac:dyDescent="0.25">
      <c r="I721" s="55"/>
      <c r="J721" s="55"/>
      <c r="K721" s="55"/>
      <c r="L721" s="55"/>
    </row>
    <row r="722" spans="9:12" s="33" customFormat="1" x14ac:dyDescent="0.25">
      <c r="I722" s="55"/>
      <c r="J722" s="55"/>
      <c r="K722" s="55"/>
      <c r="L722" s="55"/>
    </row>
    <row r="723" spans="9:12" s="33" customFormat="1" x14ac:dyDescent="0.25">
      <c r="I723" s="55"/>
      <c r="J723" s="55"/>
      <c r="K723" s="55"/>
      <c r="L723" s="55"/>
    </row>
    <row r="724" spans="9:12" s="33" customFormat="1" x14ac:dyDescent="0.25">
      <c r="I724" s="55"/>
      <c r="J724" s="55"/>
      <c r="K724" s="55"/>
      <c r="L724" s="55"/>
    </row>
    <row r="725" spans="9:12" s="33" customFormat="1" x14ac:dyDescent="0.25">
      <c r="I725" s="55"/>
      <c r="J725" s="55"/>
      <c r="K725" s="55"/>
      <c r="L725" s="55"/>
    </row>
    <row r="726" spans="9:12" s="33" customFormat="1" x14ac:dyDescent="0.25">
      <c r="I726" s="55"/>
      <c r="J726" s="55"/>
      <c r="K726" s="55"/>
      <c r="L726" s="55"/>
    </row>
    <row r="727" spans="9:12" s="33" customFormat="1" x14ac:dyDescent="0.25">
      <c r="I727" s="55"/>
      <c r="J727" s="55"/>
      <c r="K727" s="55"/>
      <c r="L727" s="55"/>
    </row>
    <row r="728" spans="9:12" s="33" customFormat="1" x14ac:dyDescent="0.25">
      <c r="I728" s="55"/>
      <c r="J728" s="55"/>
      <c r="K728" s="55"/>
      <c r="L728" s="55"/>
    </row>
    <row r="729" spans="9:12" s="33" customFormat="1" x14ac:dyDescent="0.25">
      <c r="I729" s="55"/>
      <c r="J729" s="55"/>
      <c r="K729" s="55"/>
      <c r="L729" s="55"/>
    </row>
    <row r="730" spans="9:12" s="33" customFormat="1" x14ac:dyDescent="0.25">
      <c r="I730" s="55"/>
      <c r="J730" s="55"/>
      <c r="K730" s="55"/>
      <c r="L730" s="55"/>
    </row>
    <row r="731" spans="9:12" s="33" customFormat="1" x14ac:dyDescent="0.25">
      <c r="I731" s="55"/>
      <c r="J731" s="55"/>
      <c r="K731" s="55"/>
      <c r="L731" s="55"/>
    </row>
    <row r="732" spans="9:12" s="33" customFormat="1" x14ac:dyDescent="0.25">
      <c r="I732" s="55"/>
      <c r="J732" s="55"/>
      <c r="K732" s="55"/>
      <c r="L732" s="55"/>
    </row>
    <row r="733" spans="9:12" s="33" customFormat="1" x14ac:dyDescent="0.25">
      <c r="I733" s="55"/>
      <c r="J733" s="55"/>
      <c r="K733" s="55"/>
      <c r="L733" s="55"/>
    </row>
    <row r="734" spans="9:12" s="33" customFormat="1" x14ac:dyDescent="0.25">
      <c r="I734" s="55"/>
      <c r="J734" s="55"/>
      <c r="K734" s="55"/>
      <c r="L734" s="55"/>
    </row>
    <row r="735" spans="9:12" s="33" customFormat="1" x14ac:dyDescent="0.25">
      <c r="I735" s="55"/>
      <c r="J735" s="55"/>
      <c r="K735" s="55"/>
      <c r="L735" s="55"/>
    </row>
    <row r="736" spans="9:12" s="33" customFormat="1" x14ac:dyDescent="0.25">
      <c r="I736" s="55"/>
      <c r="J736" s="55"/>
      <c r="K736" s="55"/>
      <c r="L736" s="55"/>
    </row>
    <row r="737" spans="9:12" s="33" customFormat="1" x14ac:dyDescent="0.25">
      <c r="I737" s="55"/>
      <c r="J737" s="55"/>
      <c r="K737" s="55"/>
      <c r="L737" s="55"/>
    </row>
    <row r="738" spans="9:12" s="33" customFormat="1" x14ac:dyDescent="0.25">
      <c r="I738" s="55"/>
      <c r="J738" s="55"/>
      <c r="K738" s="55"/>
      <c r="L738" s="55"/>
    </row>
    <row r="739" spans="9:12" s="33" customFormat="1" x14ac:dyDescent="0.25">
      <c r="I739" s="55"/>
      <c r="J739" s="55"/>
      <c r="K739" s="55"/>
      <c r="L739" s="55"/>
    </row>
    <row r="740" spans="9:12" s="33" customFormat="1" x14ac:dyDescent="0.25">
      <c r="I740" s="55"/>
      <c r="J740" s="55"/>
      <c r="K740" s="55"/>
      <c r="L740" s="55"/>
    </row>
    <row r="741" spans="9:12" s="33" customFormat="1" x14ac:dyDescent="0.25">
      <c r="I741" s="55"/>
      <c r="J741" s="55"/>
      <c r="K741" s="55"/>
      <c r="L741" s="55"/>
    </row>
    <row r="742" spans="9:12" s="33" customFormat="1" x14ac:dyDescent="0.25">
      <c r="I742" s="55"/>
      <c r="J742" s="55"/>
      <c r="K742" s="55"/>
      <c r="L742" s="55"/>
    </row>
    <row r="743" spans="9:12" s="33" customFormat="1" x14ac:dyDescent="0.25">
      <c r="I743" s="55"/>
      <c r="J743" s="55"/>
      <c r="K743" s="55"/>
      <c r="L743" s="55"/>
    </row>
    <row r="744" spans="9:12" s="33" customFormat="1" x14ac:dyDescent="0.25">
      <c r="I744" s="55"/>
      <c r="J744" s="55"/>
      <c r="K744" s="55"/>
      <c r="L744" s="55"/>
    </row>
    <row r="745" spans="9:12" s="33" customFormat="1" x14ac:dyDescent="0.25">
      <c r="I745" s="55"/>
      <c r="J745" s="55"/>
      <c r="K745" s="55"/>
      <c r="L745" s="55"/>
    </row>
    <row r="746" spans="9:12" s="33" customFormat="1" x14ac:dyDescent="0.25">
      <c r="I746" s="55"/>
      <c r="J746" s="55"/>
      <c r="K746" s="55"/>
      <c r="L746" s="55"/>
    </row>
    <row r="747" spans="9:12" s="33" customFormat="1" x14ac:dyDescent="0.25">
      <c r="I747" s="55"/>
      <c r="J747" s="55"/>
      <c r="K747" s="55"/>
      <c r="L747" s="55"/>
    </row>
    <row r="748" spans="9:12" s="33" customFormat="1" x14ac:dyDescent="0.25">
      <c r="I748" s="55"/>
      <c r="J748" s="55"/>
      <c r="K748" s="55"/>
      <c r="L748" s="55"/>
    </row>
    <row r="749" spans="9:12" s="33" customFormat="1" x14ac:dyDescent="0.25">
      <c r="I749" s="55"/>
      <c r="J749" s="55"/>
      <c r="K749" s="55"/>
      <c r="L749" s="55"/>
    </row>
    <row r="750" spans="9:12" s="33" customFormat="1" x14ac:dyDescent="0.25">
      <c r="I750" s="55"/>
      <c r="J750" s="55"/>
      <c r="K750" s="55"/>
      <c r="L750" s="55"/>
    </row>
    <row r="751" spans="9:12" s="33" customFormat="1" x14ac:dyDescent="0.25">
      <c r="I751" s="55"/>
      <c r="J751" s="55"/>
      <c r="K751" s="55"/>
      <c r="L751" s="55"/>
    </row>
    <row r="752" spans="9:12" s="33" customFormat="1" x14ac:dyDescent="0.25">
      <c r="I752" s="55"/>
      <c r="J752" s="55"/>
      <c r="K752" s="55"/>
      <c r="L752" s="55"/>
    </row>
    <row r="753" spans="9:12" s="33" customFormat="1" x14ac:dyDescent="0.25">
      <c r="I753" s="55"/>
      <c r="J753" s="55"/>
      <c r="K753" s="55"/>
      <c r="L753" s="55"/>
    </row>
    <row r="754" spans="9:12" s="33" customFormat="1" x14ac:dyDescent="0.25">
      <c r="I754" s="55"/>
      <c r="J754" s="55"/>
      <c r="K754" s="55"/>
      <c r="L754" s="55"/>
    </row>
    <row r="755" spans="9:12" s="33" customFormat="1" x14ac:dyDescent="0.25">
      <c r="I755" s="55"/>
      <c r="J755" s="55"/>
      <c r="K755" s="55"/>
      <c r="L755" s="55"/>
    </row>
    <row r="756" spans="9:12" s="33" customFormat="1" x14ac:dyDescent="0.25">
      <c r="I756" s="55"/>
      <c r="J756" s="55"/>
      <c r="K756" s="55"/>
      <c r="L756" s="55"/>
    </row>
    <row r="757" spans="9:12" s="33" customFormat="1" x14ac:dyDescent="0.25">
      <c r="I757" s="55"/>
      <c r="J757" s="55"/>
      <c r="K757" s="55"/>
      <c r="L757" s="55"/>
    </row>
    <row r="758" spans="9:12" s="33" customFormat="1" x14ac:dyDescent="0.25">
      <c r="I758" s="55"/>
      <c r="J758" s="55"/>
      <c r="K758" s="55"/>
      <c r="L758" s="55"/>
    </row>
    <row r="759" spans="9:12" s="33" customFormat="1" x14ac:dyDescent="0.25">
      <c r="I759" s="55"/>
      <c r="J759" s="55"/>
      <c r="K759" s="55"/>
      <c r="L759" s="55"/>
    </row>
    <row r="760" spans="9:12" s="33" customFormat="1" x14ac:dyDescent="0.25">
      <c r="I760" s="55"/>
      <c r="J760" s="55"/>
      <c r="K760" s="55"/>
      <c r="L760" s="55"/>
    </row>
    <row r="761" spans="9:12" s="33" customFormat="1" x14ac:dyDescent="0.25">
      <c r="I761" s="55"/>
      <c r="J761" s="55"/>
      <c r="K761" s="55"/>
      <c r="L761" s="55"/>
    </row>
    <row r="762" spans="9:12" s="33" customFormat="1" x14ac:dyDescent="0.25">
      <c r="I762" s="55"/>
      <c r="J762" s="55"/>
      <c r="K762" s="55"/>
      <c r="L762" s="55"/>
    </row>
    <row r="763" spans="9:12" s="33" customFormat="1" x14ac:dyDescent="0.25">
      <c r="I763" s="55"/>
      <c r="J763" s="55"/>
      <c r="K763" s="55"/>
      <c r="L763" s="55"/>
    </row>
    <row r="764" spans="9:12" s="33" customFormat="1" x14ac:dyDescent="0.25">
      <c r="I764" s="55"/>
      <c r="J764" s="55"/>
      <c r="K764" s="55"/>
      <c r="L764" s="55"/>
    </row>
    <row r="765" spans="9:12" s="33" customFormat="1" x14ac:dyDescent="0.25">
      <c r="I765" s="55"/>
      <c r="J765" s="55"/>
      <c r="K765" s="55"/>
      <c r="L765" s="55"/>
    </row>
    <row r="766" spans="9:12" s="33" customFormat="1" x14ac:dyDescent="0.25">
      <c r="I766" s="55"/>
      <c r="J766" s="55"/>
      <c r="K766" s="55"/>
      <c r="L766" s="55"/>
    </row>
    <row r="767" spans="9:12" s="33" customFormat="1" x14ac:dyDescent="0.25">
      <c r="I767" s="55"/>
      <c r="J767" s="55"/>
      <c r="K767" s="55"/>
      <c r="L767" s="55"/>
    </row>
    <row r="768" spans="9:12" s="33" customFormat="1" x14ac:dyDescent="0.25">
      <c r="I768" s="55"/>
      <c r="J768" s="55"/>
      <c r="K768" s="55"/>
      <c r="L768" s="55"/>
    </row>
    <row r="769" spans="9:12" s="33" customFormat="1" x14ac:dyDescent="0.25">
      <c r="I769" s="55"/>
      <c r="J769" s="55"/>
      <c r="K769" s="55"/>
      <c r="L769" s="55"/>
    </row>
    <row r="770" spans="9:12" s="33" customFormat="1" x14ac:dyDescent="0.25">
      <c r="I770" s="55"/>
      <c r="J770" s="55"/>
      <c r="K770" s="55"/>
      <c r="L770" s="55"/>
    </row>
    <row r="771" spans="9:12" s="33" customFormat="1" x14ac:dyDescent="0.25">
      <c r="I771" s="55"/>
      <c r="J771" s="55"/>
      <c r="K771" s="55"/>
      <c r="L771" s="55"/>
    </row>
    <row r="772" spans="9:12" s="33" customFormat="1" x14ac:dyDescent="0.25">
      <c r="I772" s="55"/>
      <c r="J772" s="55"/>
      <c r="K772" s="55"/>
      <c r="L772" s="55"/>
    </row>
    <row r="773" spans="9:12" s="33" customFormat="1" x14ac:dyDescent="0.25">
      <c r="I773" s="55"/>
      <c r="J773" s="55"/>
      <c r="K773" s="55"/>
      <c r="L773" s="55"/>
    </row>
    <row r="774" spans="9:12" s="33" customFormat="1" x14ac:dyDescent="0.25">
      <c r="I774" s="55"/>
      <c r="J774" s="55"/>
      <c r="K774" s="55"/>
      <c r="L774" s="55"/>
    </row>
    <row r="775" spans="9:12" s="33" customFormat="1" x14ac:dyDescent="0.25">
      <c r="I775" s="55"/>
      <c r="J775" s="55"/>
      <c r="K775" s="55"/>
      <c r="L775" s="55"/>
    </row>
    <row r="776" spans="9:12" s="33" customFormat="1" x14ac:dyDescent="0.25">
      <c r="I776" s="55"/>
      <c r="J776" s="55"/>
      <c r="K776" s="55"/>
      <c r="L776" s="55"/>
    </row>
    <row r="777" spans="9:12" s="33" customFormat="1" x14ac:dyDescent="0.25">
      <c r="I777" s="55"/>
      <c r="J777" s="55"/>
      <c r="K777" s="55"/>
      <c r="L777" s="55"/>
    </row>
    <row r="778" spans="9:12" s="33" customFormat="1" x14ac:dyDescent="0.25">
      <c r="I778" s="55"/>
      <c r="J778" s="55"/>
      <c r="K778" s="55"/>
      <c r="L778" s="55"/>
    </row>
    <row r="779" spans="9:12" s="33" customFormat="1" x14ac:dyDescent="0.25">
      <c r="I779" s="55"/>
      <c r="J779" s="55"/>
      <c r="K779" s="55"/>
      <c r="L779" s="55"/>
    </row>
    <row r="780" spans="9:12" s="33" customFormat="1" x14ac:dyDescent="0.25">
      <c r="I780" s="55"/>
      <c r="J780" s="55"/>
      <c r="K780" s="55"/>
      <c r="L780" s="55"/>
    </row>
    <row r="781" spans="9:12" s="33" customFormat="1" x14ac:dyDescent="0.25">
      <c r="I781" s="55"/>
      <c r="J781" s="55"/>
      <c r="K781" s="55"/>
      <c r="L781" s="55"/>
    </row>
    <row r="782" spans="9:12" s="33" customFormat="1" x14ac:dyDescent="0.25">
      <c r="I782" s="55"/>
      <c r="J782" s="55"/>
      <c r="K782" s="55"/>
      <c r="L782" s="55"/>
    </row>
    <row r="783" spans="9:12" s="33" customFormat="1" x14ac:dyDescent="0.25">
      <c r="I783" s="55"/>
      <c r="J783" s="55"/>
      <c r="K783" s="55"/>
      <c r="L783" s="55"/>
    </row>
    <row r="784" spans="9:12" s="33" customFormat="1" x14ac:dyDescent="0.25">
      <c r="I784" s="55"/>
      <c r="J784" s="55"/>
      <c r="K784" s="55"/>
      <c r="L784" s="55"/>
    </row>
    <row r="785" spans="9:12" s="33" customFormat="1" x14ac:dyDescent="0.25">
      <c r="I785" s="55"/>
      <c r="J785" s="55"/>
      <c r="K785" s="55"/>
      <c r="L785" s="55"/>
    </row>
    <row r="786" spans="9:12" s="33" customFormat="1" x14ac:dyDescent="0.25">
      <c r="I786" s="55"/>
      <c r="J786" s="55"/>
      <c r="K786" s="55"/>
      <c r="L786" s="55"/>
    </row>
    <row r="787" spans="9:12" s="33" customFormat="1" x14ac:dyDescent="0.25">
      <c r="I787" s="55"/>
      <c r="J787" s="55"/>
      <c r="K787" s="55"/>
      <c r="L787" s="55"/>
    </row>
    <row r="788" spans="9:12" s="33" customFormat="1" x14ac:dyDescent="0.25">
      <c r="I788" s="55"/>
      <c r="J788" s="55"/>
      <c r="K788" s="55"/>
      <c r="L788" s="55"/>
    </row>
    <row r="789" spans="9:12" s="33" customFormat="1" x14ac:dyDescent="0.25">
      <c r="I789" s="55"/>
      <c r="J789" s="55"/>
      <c r="K789" s="55"/>
      <c r="L789" s="55"/>
    </row>
    <row r="790" spans="9:12" s="33" customFormat="1" x14ac:dyDescent="0.25">
      <c r="I790" s="55"/>
      <c r="J790" s="55"/>
      <c r="K790" s="55"/>
      <c r="L790" s="55"/>
    </row>
    <row r="791" spans="9:12" s="33" customFormat="1" x14ac:dyDescent="0.25">
      <c r="I791" s="55"/>
      <c r="J791" s="55"/>
      <c r="K791" s="55"/>
      <c r="L791" s="55"/>
    </row>
    <row r="792" spans="9:12" s="33" customFormat="1" x14ac:dyDescent="0.25">
      <c r="I792" s="55"/>
      <c r="J792" s="55"/>
      <c r="K792" s="55"/>
      <c r="L792" s="55"/>
    </row>
    <row r="793" spans="9:12" s="33" customFormat="1" x14ac:dyDescent="0.25">
      <c r="I793" s="55"/>
      <c r="J793" s="55"/>
      <c r="K793" s="55"/>
      <c r="L793" s="55"/>
    </row>
    <row r="794" spans="9:12" s="33" customFormat="1" x14ac:dyDescent="0.25">
      <c r="I794" s="55"/>
      <c r="J794" s="55"/>
      <c r="K794" s="55"/>
      <c r="L794" s="55"/>
    </row>
    <row r="795" spans="9:12" s="33" customFormat="1" x14ac:dyDescent="0.25">
      <c r="I795" s="55"/>
      <c r="J795" s="55"/>
      <c r="K795" s="55"/>
      <c r="L795" s="55"/>
    </row>
    <row r="796" spans="9:12" s="33" customFormat="1" x14ac:dyDescent="0.25">
      <c r="I796" s="55"/>
      <c r="J796" s="55"/>
      <c r="K796" s="55"/>
      <c r="L796" s="55"/>
    </row>
    <row r="797" spans="9:12" s="33" customFormat="1" x14ac:dyDescent="0.25">
      <c r="I797" s="55"/>
      <c r="J797" s="55"/>
      <c r="K797" s="55"/>
      <c r="L797" s="55"/>
    </row>
    <row r="798" spans="9:12" s="33" customFormat="1" x14ac:dyDescent="0.25">
      <c r="I798" s="55"/>
      <c r="J798" s="55"/>
      <c r="K798" s="55"/>
      <c r="L798" s="55"/>
    </row>
    <row r="799" spans="9:12" s="33" customFormat="1" x14ac:dyDescent="0.25">
      <c r="I799" s="55"/>
      <c r="J799" s="55"/>
      <c r="K799" s="55"/>
      <c r="L799" s="55"/>
    </row>
    <row r="800" spans="9:12" s="33" customFormat="1" x14ac:dyDescent="0.25">
      <c r="I800" s="55"/>
      <c r="J800" s="55"/>
      <c r="K800" s="55"/>
      <c r="L800" s="55"/>
    </row>
    <row r="801" spans="9:12" s="33" customFormat="1" x14ac:dyDescent="0.25">
      <c r="I801" s="55"/>
      <c r="J801" s="55"/>
      <c r="K801" s="55"/>
      <c r="L801" s="55"/>
    </row>
    <row r="802" spans="9:12" s="33" customFormat="1" x14ac:dyDescent="0.25">
      <c r="I802" s="55"/>
      <c r="J802" s="55"/>
      <c r="K802" s="55"/>
      <c r="L802" s="55"/>
    </row>
    <row r="803" spans="9:12" s="33" customFormat="1" x14ac:dyDescent="0.25">
      <c r="I803" s="55"/>
      <c r="J803" s="55"/>
      <c r="K803" s="55"/>
      <c r="L803" s="55"/>
    </row>
    <row r="804" spans="9:12" s="33" customFormat="1" x14ac:dyDescent="0.25">
      <c r="I804" s="55"/>
      <c r="J804" s="55"/>
      <c r="K804" s="55"/>
      <c r="L804" s="55"/>
    </row>
    <row r="805" spans="9:12" s="33" customFormat="1" x14ac:dyDescent="0.25">
      <c r="I805" s="55"/>
      <c r="J805" s="55"/>
      <c r="K805" s="55"/>
      <c r="L805" s="55"/>
    </row>
    <row r="806" spans="9:12" s="33" customFormat="1" x14ac:dyDescent="0.25">
      <c r="I806" s="55"/>
      <c r="J806" s="55"/>
      <c r="K806" s="55"/>
      <c r="L806" s="55"/>
    </row>
    <row r="807" spans="9:12" s="33" customFormat="1" x14ac:dyDescent="0.25">
      <c r="I807" s="55"/>
      <c r="J807" s="55"/>
      <c r="K807" s="55"/>
      <c r="L807" s="55"/>
    </row>
    <row r="808" spans="9:12" s="33" customFormat="1" x14ac:dyDescent="0.25">
      <c r="I808" s="55"/>
      <c r="J808" s="55"/>
      <c r="K808" s="55"/>
      <c r="L808" s="55"/>
    </row>
    <row r="809" spans="9:12" s="33" customFormat="1" x14ac:dyDescent="0.25">
      <c r="I809" s="55"/>
      <c r="J809" s="55"/>
      <c r="K809" s="55"/>
      <c r="L809" s="55"/>
    </row>
    <row r="810" spans="9:12" s="33" customFormat="1" x14ac:dyDescent="0.25">
      <c r="I810" s="55"/>
      <c r="J810" s="55"/>
      <c r="K810" s="55"/>
      <c r="L810" s="55"/>
    </row>
    <row r="811" spans="9:12" s="33" customFormat="1" x14ac:dyDescent="0.25">
      <c r="I811" s="55"/>
      <c r="J811" s="55"/>
      <c r="K811" s="55"/>
      <c r="L811" s="55"/>
    </row>
    <row r="812" spans="9:12" s="33" customFormat="1" x14ac:dyDescent="0.25">
      <c r="I812" s="55"/>
      <c r="J812" s="55"/>
      <c r="K812" s="55"/>
      <c r="L812" s="55"/>
    </row>
    <row r="813" spans="9:12" s="33" customFormat="1" x14ac:dyDescent="0.25">
      <c r="I813" s="55"/>
      <c r="J813" s="55"/>
      <c r="K813" s="55"/>
      <c r="L813" s="55"/>
    </row>
    <row r="814" spans="9:12" s="33" customFormat="1" x14ac:dyDescent="0.25">
      <c r="I814" s="55"/>
      <c r="J814" s="55"/>
      <c r="K814" s="55"/>
      <c r="L814" s="55"/>
    </row>
    <row r="815" spans="9:12" s="33" customFormat="1" x14ac:dyDescent="0.25">
      <c r="I815" s="55"/>
      <c r="J815" s="55"/>
      <c r="K815" s="55"/>
      <c r="L815" s="55"/>
    </row>
    <row r="816" spans="9:12" s="33" customFormat="1" x14ac:dyDescent="0.25">
      <c r="I816" s="55"/>
      <c r="J816" s="55"/>
      <c r="K816" s="55"/>
      <c r="L816" s="55"/>
    </row>
    <row r="817" spans="9:12" s="33" customFormat="1" x14ac:dyDescent="0.25">
      <c r="I817" s="55"/>
      <c r="J817" s="55"/>
      <c r="K817" s="55"/>
      <c r="L817" s="55"/>
    </row>
    <row r="818" spans="9:12" s="33" customFormat="1" x14ac:dyDescent="0.25">
      <c r="I818" s="55"/>
      <c r="J818" s="55"/>
      <c r="K818" s="55"/>
      <c r="L818" s="55"/>
    </row>
    <row r="819" spans="9:12" s="33" customFormat="1" x14ac:dyDescent="0.25">
      <c r="I819" s="55"/>
      <c r="J819" s="55"/>
      <c r="K819" s="55"/>
      <c r="L819" s="55"/>
    </row>
    <row r="820" spans="9:12" s="33" customFormat="1" x14ac:dyDescent="0.25">
      <c r="I820" s="55"/>
      <c r="J820" s="55"/>
      <c r="K820" s="55"/>
      <c r="L820" s="55"/>
    </row>
    <row r="821" spans="9:12" s="33" customFormat="1" x14ac:dyDescent="0.25">
      <c r="I821" s="55"/>
      <c r="J821" s="55"/>
      <c r="K821" s="55"/>
      <c r="L821" s="55"/>
    </row>
    <row r="822" spans="9:12" s="33" customFormat="1" x14ac:dyDescent="0.25">
      <c r="I822" s="55"/>
      <c r="J822" s="55"/>
      <c r="K822" s="55"/>
      <c r="L822" s="55"/>
    </row>
    <row r="823" spans="9:12" s="33" customFormat="1" x14ac:dyDescent="0.25">
      <c r="I823" s="55"/>
      <c r="J823" s="55"/>
      <c r="K823" s="55"/>
      <c r="L823" s="55"/>
    </row>
  </sheetData>
  <phoneticPr fontId="0" type="noConversion"/>
  <printOptions gridLines="1" gridLinesSet="0"/>
  <pageMargins left="0.75" right="0.75" top="1" bottom="1" header="0.5" footer="0.5"/>
  <pageSetup paperSize="9" orientation="portrait" horizontalDpi="180" verticalDpi="180" r:id="rId1"/>
  <headerFooter alignWithMargins="0">
    <oddHeader>&amp;A</oddHeader>
    <oddFooter>Sida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6"/>
  <sheetViews>
    <sheetView topLeftCell="A7" zoomScale="80" zoomScaleNormal="80" workbookViewId="0">
      <selection activeCell="E22" sqref="E22"/>
    </sheetView>
  </sheetViews>
  <sheetFormatPr defaultColWidth="8.81640625" defaultRowHeight="14" x14ac:dyDescent="0.3"/>
  <cols>
    <col min="1" max="1" width="29.81640625" style="122" customWidth="1"/>
    <col min="2" max="2" width="27.7265625" style="122" customWidth="1"/>
    <col min="3" max="3" width="29.1796875" style="122" customWidth="1"/>
    <col min="4" max="4" width="17.54296875" style="122" customWidth="1"/>
    <col min="5" max="5" width="33.26953125" style="122" customWidth="1"/>
    <col min="6" max="6" width="19.54296875" style="122" customWidth="1"/>
    <col min="7" max="16384" width="8.81640625" style="122"/>
  </cols>
  <sheetData>
    <row r="1" spans="1:9" ht="20" x14ac:dyDescent="0.4">
      <c r="A1" s="121" t="s">
        <v>174</v>
      </c>
      <c r="E1" s="123"/>
    </row>
    <row r="2" spans="1:9" x14ac:dyDescent="0.3">
      <c r="A2" s="124"/>
      <c r="B2" s="124"/>
      <c r="C2" s="124"/>
      <c r="D2" s="124"/>
      <c r="E2" s="124"/>
      <c r="F2" s="124"/>
      <c r="G2" s="124"/>
      <c r="H2" s="124"/>
      <c r="I2" s="124"/>
    </row>
    <row r="3" spans="1:9" x14ac:dyDescent="0.3">
      <c r="A3" s="125" t="s">
        <v>175</v>
      </c>
      <c r="B3" s="126"/>
      <c r="C3" s="127"/>
      <c r="D3" s="124"/>
      <c r="E3" s="124"/>
      <c r="F3" s="124"/>
      <c r="G3" s="124"/>
      <c r="H3" s="124"/>
      <c r="I3" s="124"/>
    </row>
    <row r="4" spans="1:9" x14ac:dyDescent="0.3">
      <c r="A4" s="126" t="s">
        <v>176</v>
      </c>
      <c r="B4" s="126"/>
      <c r="C4" s="127"/>
      <c r="D4" s="124"/>
      <c r="E4" s="124"/>
      <c r="F4" s="124"/>
      <c r="G4" s="124"/>
      <c r="H4" s="124"/>
      <c r="I4" s="124"/>
    </row>
    <row r="5" spans="1:9" x14ac:dyDescent="0.3">
      <c r="A5" s="126" t="s">
        <v>177</v>
      </c>
      <c r="B5" s="126"/>
      <c r="C5" s="127"/>
      <c r="D5" s="124"/>
      <c r="E5" s="124"/>
      <c r="F5" s="124"/>
      <c r="G5" s="124"/>
      <c r="H5" s="124"/>
      <c r="I5" s="124"/>
    </row>
    <row r="6" spans="1:9" x14ac:dyDescent="0.3">
      <c r="A6" s="126" t="s">
        <v>178</v>
      </c>
      <c r="B6" s="126"/>
      <c r="C6" s="127"/>
      <c r="D6" s="124"/>
      <c r="E6" s="124"/>
      <c r="F6" s="124"/>
      <c r="G6" s="124"/>
      <c r="H6" s="124"/>
      <c r="I6" s="124"/>
    </row>
    <row r="7" spans="1:9" x14ac:dyDescent="0.3">
      <c r="A7" s="126" t="s">
        <v>179</v>
      </c>
      <c r="B7" s="126"/>
      <c r="C7" s="127"/>
      <c r="D7" s="124"/>
      <c r="E7" s="124"/>
      <c r="F7" s="124"/>
      <c r="G7" s="124"/>
      <c r="H7" s="124"/>
      <c r="I7" s="124"/>
    </row>
    <row r="8" spans="1:9" x14ac:dyDescent="0.3">
      <c r="A8" s="126" t="s">
        <v>180</v>
      </c>
      <c r="B8" s="126"/>
      <c r="C8" s="127"/>
      <c r="D8" s="124"/>
      <c r="E8" s="124"/>
      <c r="F8" s="124"/>
      <c r="G8" s="124"/>
      <c r="H8" s="124"/>
      <c r="I8" s="124"/>
    </row>
    <row r="9" spans="1:9" x14ac:dyDescent="0.3">
      <c r="A9" s="126" t="s">
        <v>181</v>
      </c>
      <c r="B9" s="126"/>
      <c r="C9" s="127"/>
      <c r="D9" s="124"/>
      <c r="E9" s="124"/>
      <c r="F9" s="124"/>
      <c r="G9" s="124"/>
      <c r="H9" s="124"/>
      <c r="I9" s="124"/>
    </row>
    <row r="10" spans="1:9" x14ac:dyDescent="0.3">
      <c r="A10" s="126" t="s">
        <v>182</v>
      </c>
      <c r="B10" s="126"/>
      <c r="C10" s="127"/>
      <c r="D10" s="124"/>
      <c r="E10" s="124"/>
      <c r="F10" s="124"/>
      <c r="G10" s="124"/>
      <c r="H10" s="124"/>
      <c r="I10" s="124"/>
    </row>
    <row r="11" spans="1:9" x14ac:dyDescent="0.3">
      <c r="A11" s="134" t="s">
        <v>219</v>
      </c>
      <c r="B11" s="126"/>
      <c r="C11" s="127"/>
      <c r="D11" s="124"/>
      <c r="E11" s="124"/>
      <c r="F11" s="124"/>
      <c r="G11" s="124"/>
      <c r="H11" s="124"/>
      <c r="I11" s="124"/>
    </row>
    <row r="12" spans="1:9" x14ac:dyDescent="0.3">
      <c r="A12" s="126"/>
      <c r="B12" s="126"/>
      <c r="C12" s="127"/>
      <c r="D12" s="124"/>
      <c r="E12" s="124"/>
      <c r="F12" s="124"/>
      <c r="G12" s="124"/>
      <c r="H12" s="124"/>
      <c r="I12" s="124"/>
    </row>
    <row r="13" spans="1:9" x14ac:dyDescent="0.3">
      <c r="A13" s="126"/>
      <c r="B13" s="128" t="s">
        <v>220</v>
      </c>
      <c r="C13" s="142"/>
      <c r="D13" s="124"/>
      <c r="E13" s="124"/>
      <c r="F13" s="124"/>
      <c r="G13" s="124"/>
      <c r="H13" s="124"/>
    </row>
    <row r="14" spans="1:9" ht="25.15" customHeight="1" x14ac:dyDescent="0.3">
      <c r="A14" s="129" t="s">
        <v>183</v>
      </c>
      <c r="B14" s="143" t="s">
        <v>221</v>
      </c>
      <c r="C14" s="144" t="s">
        <v>222</v>
      </c>
      <c r="D14" s="124"/>
      <c r="E14" s="124"/>
      <c r="F14" s="124"/>
      <c r="G14" s="124"/>
      <c r="H14" s="124"/>
    </row>
    <row r="15" spans="1:9" x14ac:dyDescent="0.3">
      <c r="A15" s="130" t="s">
        <v>184</v>
      </c>
      <c r="B15" s="131" t="s">
        <v>223</v>
      </c>
      <c r="C15" s="131" t="s">
        <v>224</v>
      </c>
      <c r="D15"/>
      <c r="E15"/>
      <c r="F15"/>
      <c r="G15" s="124"/>
      <c r="H15" s="124"/>
    </row>
    <row r="16" spans="1:9" x14ac:dyDescent="0.3">
      <c r="A16" s="130" t="s">
        <v>12</v>
      </c>
      <c r="B16" s="131" t="s">
        <v>186</v>
      </c>
      <c r="C16" s="131" t="s">
        <v>187</v>
      </c>
      <c r="D16"/>
      <c r="E16"/>
      <c r="F16"/>
      <c r="G16" s="124"/>
      <c r="H16" s="124"/>
    </row>
    <row r="17" spans="1:9" x14ac:dyDescent="0.3">
      <c r="A17" s="130" t="s">
        <v>185</v>
      </c>
      <c r="B17" s="131" t="s">
        <v>186</v>
      </c>
      <c r="C17" s="131" t="s">
        <v>187</v>
      </c>
      <c r="D17"/>
      <c r="E17"/>
      <c r="F17"/>
      <c r="G17" s="124"/>
      <c r="H17" s="124"/>
    </row>
    <row r="18" spans="1:9" ht="15.5" x14ac:dyDescent="0.4">
      <c r="A18" s="130" t="s">
        <v>188</v>
      </c>
      <c r="B18" s="131" t="s">
        <v>189</v>
      </c>
      <c r="C18" s="131" t="s">
        <v>190</v>
      </c>
      <c r="D18"/>
      <c r="E18"/>
      <c r="F18"/>
      <c r="G18" s="124"/>
      <c r="H18" s="124"/>
    </row>
    <row r="19" spans="1:9" ht="15.5" x14ac:dyDescent="0.4">
      <c r="A19" s="130" t="s">
        <v>191</v>
      </c>
      <c r="B19" s="131" t="s">
        <v>225</v>
      </c>
      <c r="C19" s="131" t="s">
        <v>226</v>
      </c>
      <c r="D19"/>
      <c r="E19"/>
      <c r="F19"/>
      <c r="G19" s="124"/>
      <c r="H19" s="124"/>
    </row>
    <row r="20" spans="1:9" x14ac:dyDescent="0.3">
      <c r="A20" s="132"/>
      <c r="B20" s="133"/>
      <c r="C20" s="133"/>
      <c r="D20" s="133"/>
      <c r="E20" s="124"/>
      <c r="F20" s="124"/>
      <c r="G20" s="124"/>
      <c r="H20" s="124"/>
      <c r="I20" s="124"/>
    </row>
    <row r="21" spans="1:9" x14ac:dyDescent="0.3">
      <c r="A21" s="35"/>
      <c r="B21" s="126"/>
      <c r="C21" s="127"/>
      <c r="D21" s="124"/>
      <c r="E21" s="124"/>
      <c r="F21" s="124"/>
      <c r="G21" s="124"/>
      <c r="H21" s="124"/>
      <c r="I21" s="124"/>
    </row>
    <row r="22" spans="1:9" x14ac:dyDescent="0.3">
      <c r="A22" s="124" t="s">
        <v>192</v>
      </c>
      <c r="B22" s="126"/>
      <c r="C22" s="127"/>
      <c r="D22" s="124"/>
      <c r="E22" s="124"/>
      <c r="F22" s="124"/>
      <c r="G22" s="124"/>
      <c r="H22" s="124"/>
      <c r="I22" s="124"/>
    </row>
    <row r="23" spans="1:9" x14ac:dyDescent="0.3">
      <c r="A23" s="135" t="s">
        <v>193</v>
      </c>
      <c r="B23" s="136" t="s">
        <v>194</v>
      </c>
      <c r="C23" s="124"/>
      <c r="D23" s="124"/>
      <c r="E23" s="124"/>
      <c r="F23" s="126"/>
      <c r="G23" s="127"/>
      <c r="H23" s="124"/>
      <c r="I23" s="124"/>
    </row>
    <row r="24" spans="1:9" ht="8.5" customHeight="1" x14ac:dyDescent="0.3">
      <c r="A24" s="135"/>
      <c r="B24" s="136"/>
      <c r="C24" s="124"/>
      <c r="D24" s="124"/>
      <c r="E24" s="124"/>
      <c r="F24" s="126"/>
      <c r="G24" s="127"/>
      <c r="H24" s="124"/>
      <c r="I24" s="124"/>
    </row>
    <row r="25" spans="1:9" s="140" customFormat="1" x14ac:dyDescent="0.3">
      <c r="A25" s="126" t="s">
        <v>195</v>
      </c>
      <c r="B25" s="124" t="s">
        <v>196</v>
      </c>
      <c r="C25" s="138"/>
      <c r="D25" s="138"/>
      <c r="E25" s="138"/>
      <c r="F25" s="137"/>
      <c r="G25" s="139"/>
      <c r="H25" s="138"/>
      <c r="I25" s="138"/>
    </row>
    <row r="26" spans="1:9" x14ac:dyDescent="0.3">
      <c r="A26" s="124"/>
      <c r="B26" s="138" t="s">
        <v>197</v>
      </c>
      <c r="C26" s="124"/>
      <c r="D26" s="124"/>
      <c r="E26" s="138"/>
      <c r="F26" s="137"/>
      <c r="G26" s="127"/>
      <c r="H26" s="124"/>
      <c r="I26" s="124"/>
    </row>
    <row r="27" spans="1:9" x14ac:dyDescent="0.3">
      <c r="A27" s="124"/>
      <c r="B27" s="124" t="s">
        <v>198</v>
      </c>
      <c r="C27" s="141"/>
      <c r="D27" s="124"/>
      <c r="E27" s="124"/>
      <c r="F27" s="126"/>
      <c r="G27" s="127"/>
      <c r="H27" s="124"/>
      <c r="I27" s="124"/>
    </row>
    <row r="28" spans="1:9" x14ac:dyDescent="0.3">
      <c r="A28" s="126"/>
      <c r="B28" s="124" t="s">
        <v>199</v>
      </c>
      <c r="C28" s="141"/>
      <c r="D28" s="124"/>
      <c r="E28" s="124"/>
      <c r="F28" s="126"/>
      <c r="G28" s="127"/>
      <c r="H28" s="124"/>
      <c r="I28" s="124"/>
    </row>
    <row r="29" spans="1:9" x14ac:dyDescent="0.3">
      <c r="B29" s="124" t="s">
        <v>200</v>
      </c>
      <c r="C29" s="141"/>
      <c r="D29" s="124"/>
      <c r="E29" s="124"/>
      <c r="F29" s="126"/>
      <c r="G29" s="127"/>
      <c r="H29" s="124"/>
      <c r="I29" s="124"/>
    </row>
    <row r="30" spans="1:9" x14ac:dyDescent="0.3">
      <c r="B30" s="124" t="s">
        <v>201</v>
      </c>
      <c r="C30" s="141"/>
      <c r="D30" s="124"/>
      <c r="E30" s="124"/>
      <c r="F30" s="126"/>
      <c r="G30" s="127"/>
      <c r="H30" s="124"/>
      <c r="I30" s="124"/>
    </row>
    <row r="31" spans="1:9" ht="7.15" customHeight="1" x14ac:dyDescent="0.3">
      <c r="B31" s="127"/>
      <c r="C31" s="141"/>
      <c r="D31" s="124"/>
      <c r="E31" s="124"/>
      <c r="F31" s="126"/>
      <c r="G31" s="127"/>
      <c r="H31" s="124"/>
      <c r="I31" s="124"/>
    </row>
    <row r="32" spans="1:9" x14ac:dyDescent="0.3">
      <c r="A32" s="126" t="s">
        <v>202</v>
      </c>
      <c r="B32" s="127" t="s">
        <v>203</v>
      </c>
      <c r="C32" s="141"/>
      <c r="D32" s="124"/>
      <c r="E32" s="124"/>
      <c r="F32" s="126"/>
      <c r="G32" s="127"/>
      <c r="H32" s="124"/>
      <c r="I32" s="124"/>
    </row>
    <row r="33" spans="1:9" x14ac:dyDescent="0.3">
      <c r="A33" s="126"/>
      <c r="B33" s="127" t="s">
        <v>204</v>
      </c>
      <c r="C33" s="141"/>
      <c r="D33" s="124"/>
      <c r="E33" s="124"/>
      <c r="F33" s="126"/>
      <c r="G33" s="127"/>
      <c r="H33" s="124"/>
      <c r="I33" s="124"/>
    </row>
    <row r="34" spans="1:9" x14ac:dyDescent="0.3">
      <c r="A34" s="126"/>
      <c r="B34" s="127" t="s">
        <v>205</v>
      </c>
      <c r="C34" s="141"/>
      <c r="D34" s="124"/>
      <c r="E34" s="124"/>
      <c r="F34" s="126"/>
      <c r="G34" s="127"/>
      <c r="H34" s="124"/>
      <c r="I34" s="124"/>
    </row>
    <row r="35" spans="1:9" ht="15.5" x14ac:dyDescent="0.4">
      <c r="A35" s="126"/>
      <c r="B35" s="127" t="s">
        <v>206</v>
      </c>
      <c r="C35" s="141"/>
      <c r="D35" s="124"/>
      <c r="E35" s="124"/>
      <c r="F35" s="126"/>
      <c r="G35" s="127"/>
      <c r="H35" s="124"/>
      <c r="I35" s="124"/>
    </row>
    <row r="36" spans="1:9" x14ac:dyDescent="0.3">
      <c r="A36" s="126"/>
      <c r="B36" s="127" t="s">
        <v>207</v>
      </c>
      <c r="C36" s="141"/>
      <c r="D36" s="124"/>
      <c r="E36" s="124"/>
      <c r="F36" s="126"/>
      <c r="G36" s="127"/>
      <c r="H36" s="124"/>
      <c r="I36" s="124"/>
    </row>
    <row r="37" spans="1:9" ht="6.75" customHeight="1" x14ac:dyDescent="0.3">
      <c r="A37" s="126"/>
      <c r="B37" s="127"/>
      <c r="C37" s="141"/>
      <c r="D37" s="124"/>
      <c r="E37" s="124"/>
      <c r="F37" s="126"/>
      <c r="G37" s="127"/>
      <c r="H37" s="124"/>
      <c r="I37" s="124"/>
    </row>
    <row r="38" spans="1:9" x14ac:dyDescent="0.3">
      <c r="A38" s="126" t="s">
        <v>208</v>
      </c>
      <c r="B38" s="124" t="s">
        <v>209</v>
      </c>
      <c r="C38" s="141"/>
      <c r="D38" s="124"/>
      <c r="E38" s="124"/>
      <c r="F38" s="126"/>
      <c r="G38" s="127"/>
      <c r="H38" s="124"/>
      <c r="I38" s="124"/>
    </row>
    <row r="39" spans="1:9" x14ac:dyDescent="0.3">
      <c r="A39" s="126"/>
      <c r="B39" s="126" t="s">
        <v>210</v>
      </c>
      <c r="C39" s="141"/>
      <c r="D39" s="124"/>
      <c r="E39" s="124"/>
      <c r="F39" s="126"/>
      <c r="G39" s="127"/>
      <c r="H39" s="124"/>
      <c r="I39" s="124"/>
    </row>
    <row r="40" spans="1:9" x14ac:dyDescent="0.3">
      <c r="A40" s="126"/>
      <c r="B40" s="126" t="s">
        <v>211</v>
      </c>
      <c r="C40" s="141"/>
      <c r="D40" s="124"/>
      <c r="E40" s="124"/>
      <c r="F40" s="126"/>
      <c r="G40" s="127"/>
      <c r="H40" s="124"/>
      <c r="I40" s="124"/>
    </row>
    <row r="41" spans="1:9" x14ac:dyDescent="0.3">
      <c r="A41" s="126"/>
      <c r="B41" s="126" t="s">
        <v>212</v>
      </c>
      <c r="C41" s="141"/>
      <c r="D41" s="124"/>
      <c r="E41" s="124"/>
      <c r="F41" s="126"/>
      <c r="G41" s="127"/>
      <c r="H41" s="124"/>
      <c r="I41" s="124"/>
    </row>
    <row r="42" spans="1:9" x14ac:dyDescent="0.3">
      <c r="A42" s="126"/>
      <c r="B42" s="124" t="s">
        <v>213</v>
      </c>
      <c r="C42" s="141"/>
      <c r="D42" s="124"/>
      <c r="E42" s="124"/>
      <c r="F42" s="126"/>
      <c r="G42" s="127"/>
      <c r="H42" s="124"/>
      <c r="I42" s="124"/>
    </row>
    <row r="43" spans="1:9" x14ac:dyDescent="0.3">
      <c r="A43" s="126"/>
      <c r="B43" s="124" t="s">
        <v>227</v>
      </c>
      <c r="C43" s="141"/>
      <c r="D43" s="124"/>
      <c r="E43" s="124"/>
      <c r="F43" s="126"/>
      <c r="G43" s="127"/>
      <c r="H43" s="124"/>
      <c r="I43" s="124"/>
    </row>
    <row r="44" spans="1:9" x14ac:dyDescent="0.3">
      <c r="A44" s="126"/>
      <c r="B44" s="127"/>
      <c r="C44" s="141"/>
      <c r="D44" s="124"/>
      <c r="E44" s="124"/>
      <c r="F44" s="126"/>
      <c r="G44" s="127"/>
      <c r="H44" s="124"/>
      <c r="I44" s="124"/>
    </row>
    <row r="45" spans="1:9" x14ac:dyDescent="0.3">
      <c r="A45" s="126"/>
      <c r="B45" s="126"/>
      <c r="C45" s="127"/>
      <c r="D45" s="127"/>
      <c r="E45" s="126"/>
      <c r="F45" s="126"/>
      <c r="G45" s="127"/>
    </row>
    <row r="46" spans="1:9" x14ac:dyDescent="0.3">
      <c r="A46" s="126"/>
      <c r="B46" s="126"/>
      <c r="C46" s="127"/>
      <c r="D46" s="127"/>
      <c r="E46" s="126"/>
      <c r="F46" s="126"/>
      <c r="G46" s="12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rbDokument05" ma:contentTypeID="0x01010045EA0F094F004518B84DB44312DF9C090067D6FAB232414F3EACAF2EFEA3980EDB00C22BE78AFC72674493445939924BC6C5" ma:contentTypeVersion="4" ma:contentTypeDescription="Dokument som måste ha 'Fastställt av'." ma:contentTypeScope="" ma:versionID="9cfb6c37cc561fccff691fc132a9d723">
  <xsd:schema xmlns:xsd="http://www.w3.org/2001/XMLSchema" xmlns:xs="http://www.w3.org/2001/XMLSchema" xmlns:p="http://schemas.microsoft.com/office/2006/metadata/properties" xmlns:ns1="Trafikverket" xmlns:ns3="36ad2b8f-2181-4457-9253-31459ed4b018" targetNamespace="http://schemas.microsoft.com/office/2006/metadata/properties" ma:root="true" ma:fieldsID="0e4364bc38da0e924f06d529966f93ff" ns1:_="" ns3:_="">
    <xsd:import namespace="Trafikverket"/>
    <xsd:import namespace="36ad2b8f-2181-4457-9253-31459ed4b018"/>
    <xsd:element name="properties">
      <xsd:complexType>
        <xsd:sequence>
          <xsd:element name="documentManagement">
            <xsd:complexType>
              <xsd:all>
                <xsd:element ref="ns1:Skapat_x0020_av_x0020_NY"/>
                <xsd:element ref="ns1:Dokumentdatum_x0020_NY"/>
                <xsd:element ref="ns1:Fastställt_x0020_av_x0020_person_x0020_NY"/>
                <xsd:element ref="ns1:TRVversionNY" minOccurs="0"/>
                <xsd:element ref="ns1:TrvDocumentTemplateId" minOccurs="0"/>
                <xsd:element ref="ns1:TrvDocumentTemplateVersion" minOccurs="0"/>
                <xsd:element ref="ns3:TrvDocumentTypeTaxHTField0" minOccurs="0"/>
                <xsd:element ref="ns3:TaxCatchAll" minOccurs="0"/>
                <xsd:element ref="ns3:TaxCatchAllLabel" minOccurs="0"/>
                <xsd:element ref="ns3:TrvConfidentialityLevelTaxHTFiel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Trafikverket" elementFormDefault="qualified">
    <xsd:import namespace="http://schemas.microsoft.com/office/2006/documentManagement/types"/>
    <xsd:import namespace="http://schemas.microsoft.com/office/infopath/2007/PartnerControls"/>
    <xsd:element name="Skapat_x0020_av_x0020_NY" ma:index="0" ma:displayName="Skapat av" ma:description="Namn och organisationsbeteckning för den person som skapat dokumentet." ma:internalName="TrvCreatedBy" ma:readOnly="false">
      <xsd:simpleType>
        <xsd:restriction base="dms:Text"/>
      </xsd:simpleType>
    </xsd:element>
    <xsd:element name="Dokumentdatum_x0020_NY" ma:index="2" ma:displayName="Dokumentdatum" ma:description="Datum för nuvarande version" ma:format="DateOnly" ma:internalName="TrvDocumentDate" ma:readOnly="false">
      <xsd:simpleType>
        <xsd:restriction base="dms:DateTime"/>
      </xsd:simpleType>
    </xsd:element>
    <xsd:element name="Fastställt_x0020_av_x0020_person_x0020_NY" ma:index="4" ma:displayName="Fastställt av" ma:description="Person som slutligt godkänner dokumentets innehåll och utformning och godkänner att dokumentet sprids externt och internt." ma:internalName="TrvApprovedBy" ma:readOnly="false">
      <xsd:simpleType>
        <xsd:restriction base="dms:Text"/>
      </xsd:simpleType>
    </xsd:element>
    <xsd:element name="TRVversionNY" ma:index="8" nillable="true" ma:displayName="Version" ma:description="Dokumentets versionsnummer" ma:internalName="TrvVersion" ma:readOnly="true">
      <xsd:simpleType>
        <xsd:restriction base="dms:Text"/>
      </xsd:simpleType>
    </xsd:element>
    <xsd:element name="TrvDocumentTemplateId" ma:index="9" nillable="true" ma:displayName="TMALL-nummer" ma:description="Unik sträng eller nummer som identifierar dokumentmallen. Värdet sätts av respektive system." ma:internalName="TrvDocumentTemplateId" ma:readOnly="true">
      <xsd:simpleType>
        <xsd:restriction base="dms:Text"/>
      </xsd:simpleType>
    </xsd:element>
    <xsd:element name="TrvDocumentTemplateVersion" ma:index="10" nillable="true" ma:displayName="Mallversion" ma:description="Dokumentmallens versionsnummer" ma:internalName="TrvDocumentTemplateVers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ad2b8f-2181-4457-9253-31459ed4b018" elementFormDefault="qualified">
    <xsd:import namespace="http://schemas.microsoft.com/office/2006/documentManagement/types"/>
    <xsd:import namespace="http://schemas.microsoft.com/office/infopath/2007/PartnerControls"/>
    <xsd:element name="TrvDocumentTypeTaxHTField0" ma:index="11" nillable="true" ma:taxonomy="true" ma:internalName="TrvDocumentTypeTaxHTField0" ma:taxonomyFieldName="TrvDocumentType" ma:displayName="Dokumenttyp" ma:readOnly="true" ma:fieldId="{254c14be-9fac-4cea-a731-8aa49979445b}" ma:sspId="56b52474-2a4b-42ac-ac16-0a67cba4e670" ma:termSetId="152f56a5-fdb2-4180-8a6e-79ef00400bc3" ma:anchorId="00000000-0000-0000-0000-000000000000" ma:open="false" ma:isKeyword="false">
      <xsd:complexType>
        <xsd:sequence>
          <xsd:element ref="pc:Terms" minOccurs="0" maxOccurs="1"/>
        </xsd:sequence>
      </xsd:complexType>
    </xsd:element>
    <xsd:element name="TaxCatchAll" ma:index="12" nillable="true" ma:displayName="Taxonomy Catch All Column" ma:description="" ma:hidden="true" ma:list="{289d0a56-51c6-4062-bcef-f5e7a34ed71c}" ma:internalName="TaxCatchAll" ma:showField="CatchAllData" ma:web="36ad2b8f-2181-4457-9253-31459ed4b018">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description="" ma:hidden="true" ma:list="{289d0a56-51c6-4062-bcef-f5e7a34ed71c}" ma:internalName="TaxCatchAllLabel" ma:readOnly="true" ma:showField="CatchAllDataLabel" ma:web="36ad2b8f-2181-4457-9253-31459ed4b018">
      <xsd:complexType>
        <xsd:complexContent>
          <xsd:extension base="dms:MultiChoiceLookup">
            <xsd:sequence>
              <xsd:element name="Value" type="dms:Lookup" maxOccurs="unbounded" minOccurs="0" nillable="true"/>
            </xsd:sequence>
          </xsd:extension>
        </xsd:complexContent>
      </xsd:complexType>
    </xsd:element>
    <xsd:element name="TrvConfidentialityLevelTaxHTField0" ma:index="18" ma:taxonomy="true" ma:internalName="TrvConfidentialityLevelTaxHTField0" ma:taxonomyFieldName="TrvConfidentialityLevel" ma:displayName="Konfidentialitetsnivå" ma:readOnly="false" ma:default="159;#2 Intern|13d1762d-2ea9-450d-b05e-1ff9ba31b2a4" ma:fieldId="{a84a37ca-5c43-43e3-a37a-c23c41d1607d}" ma:sspId="56b52474-2a4b-42ac-ac16-0a67cba4e670" ma:termSetId="4d666f29-dc73-4030-952a-63de8896f39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nehållstyp"/>
        <xsd:element ref="dc:title" maxOccurs="1" ma:index="1" ma:displayName="Dokument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TaxCatchAll xmlns="36ad2b8f-2181-4457-9253-31459ed4b018">
      <Value>159</Value>
    </TaxCatchAll>
    <Fastställt_x0020_av_x0020_person_x0020_NY xmlns="Trafikverket">-</Fastställt_x0020_av_x0020_person_x0020_NY>
    <Dokumentdatum_x0020_NY xmlns="Trafikverket">2026-03-03T23:00:00+00:00</Dokumentdatum_x0020_NY>
    <Skapat_x0020_av_x0020_NY xmlns="Trafikverket">-</Skapat_x0020_av_x0020_NY>
    <TrvConfidentialityLevelTaxHTField0 xmlns="36ad2b8f-2181-4457-9253-31459ed4b018">
      <Terms xmlns="http://schemas.microsoft.com/office/infopath/2007/PartnerControls">
        <TermInfo xmlns="http://schemas.microsoft.com/office/infopath/2007/PartnerControls">
          <TermName xmlns="http://schemas.microsoft.com/office/infopath/2007/PartnerControls">2 Intern</TermName>
          <TermId xmlns="http://schemas.microsoft.com/office/infopath/2007/PartnerControls">13d1762d-2ea9-450d-b05e-1ff9ba31b2a4</TermId>
        </TermInfo>
      </Terms>
    </TrvConfidentialityLevelTaxHTField0>
    <TRVversionNY xmlns="Trafikverket">0.2</TRVversionNY>
    <TrvDocumentTypeTaxHTField0 xmlns="36ad2b8f-2181-4457-9253-31459ed4b018">
      <Terms xmlns="http://schemas.microsoft.com/office/infopath/2007/PartnerControls"/>
    </TrvDocumentTypeTaxHTField0>
  </documentManagement>
</p:properties>
</file>

<file path=customXml/itemProps1.xml><?xml version="1.0" encoding="utf-8"?>
<ds:datastoreItem xmlns:ds="http://schemas.openxmlformats.org/officeDocument/2006/customXml" ds:itemID="{8D9148E0-D2A5-44F1-986B-9C7B675460BA}">
  <ds:schemaRefs>
    <ds:schemaRef ds:uri="http://schemas.microsoft.com/sharepoint/v3/contenttype/forms"/>
  </ds:schemaRefs>
</ds:datastoreItem>
</file>

<file path=customXml/itemProps2.xml><?xml version="1.0" encoding="utf-8"?>
<ds:datastoreItem xmlns:ds="http://schemas.openxmlformats.org/officeDocument/2006/customXml" ds:itemID="{7B49E803-9ABF-44CB-A7FC-790C019767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Trafikverket"/>
    <ds:schemaRef ds:uri="36ad2b8f-2181-4457-9253-31459ed4b0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83748B-53BD-4D69-AB95-7B5F95BDE706}">
  <ds:schemaRefs>
    <ds:schemaRef ds:uri="http://purl.org/dc/terms/"/>
    <ds:schemaRef ds:uri="http://schemas.microsoft.com/office/2006/metadata/properties"/>
    <ds:schemaRef ds:uri="http://purl.org/dc/dcmitype/"/>
    <ds:schemaRef ds:uri="http://schemas.microsoft.com/office/2006/documentManagement/types"/>
    <ds:schemaRef ds:uri="http://schemas.openxmlformats.org/package/2006/metadata/core-properties"/>
    <ds:schemaRef ds:uri="36ad2b8f-2181-4457-9253-31459ed4b018"/>
    <ds:schemaRef ds:uri="http://www.w3.org/XML/1998/namespace"/>
    <ds:schemaRef ds:uri="http://purl.org/dc/elements/1.1/"/>
    <ds:schemaRef ds:uri="http://schemas.microsoft.com/office/infopath/2007/PartnerControls"/>
    <ds:schemaRef ds:uri="Trafikverket"/>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15</vt:i4>
      </vt:variant>
      <vt:variant>
        <vt:lpstr>Namngivna områden</vt:lpstr>
      </vt:variant>
      <vt:variant>
        <vt:i4>1</vt:i4>
      </vt:variant>
    </vt:vector>
  </HeadingPairs>
  <TitlesOfParts>
    <vt:vector size="16" baseType="lpstr">
      <vt:lpstr>START</vt:lpstr>
      <vt:lpstr>A Fasadåtgärd</vt:lpstr>
      <vt:lpstr>B Fasad och del av utemiljö</vt:lpstr>
      <vt:lpstr>C Lång skärm</vt:lpstr>
      <vt:lpstr>D Vall</vt:lpstr>
      <vt:lpstr>E Förvärv</vt:lpstr>
      <vt:lpstr>F Sammanvägd NNK och NUK</vt:lpstr>
      <vt:lpstr>Åtgärdskostnad</vt:lpstr>
      <vt:lpstr>Effekter av åtgärder</vt:lpstr>
      <vt:lpstr>Bullervärdering</vt:lpstr>
      <vt:lpstr>NuvFasad</vt:lpstr>
      <vt:lpstr>NuvFasadUtemiljö</vt:lpstr>
      <vt:lpstr>NuvLångSkärm</vt:lpstr>
      <vt:lpstr>NuvVall</vt:lpstr>
      <vt:lpstr>NuvFörvärv</vt:lpstr>
      <vt:lpstr>Absorbent__utan_med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Järnvägsbuse 2026.1</dc:title>
  <dc:creator>REGION MITT</dc:creator>
  <cp:lastModifiedBy>Zehaie Ficre, PLee</cp:lastModifiedBy>
  <cp:lastPrinted>2014-09-11T14:33:40Z</cp:lastPrinted>
  <dcterms:created xsi:type="dcterms:W3CDTF">1998-08-24T19:57:42Z</dcterms:created>
  <dcterms:modified xsi:type="dcterms:W3CDTF">2026-04-14T13:42:40Z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Type">
    <vt:lpwstr>Arbetsmaterial</vt:lpwstr>
  </property>
  <property fmtid="{D5CDD505-2E9C-101B-9397-08002B2CF9AE}" pid="3" name="Publisher_0">
    <vt:lpwstr>cVSK</vt:lpwstr>
  </property>
  <property fmtid="{D5CDD505-2E9C-101B-9397-08002B2CF9AE}" pid="4" name="Author_0">
    <vt:lpwstr>REGION MITT</vt:lpwstr>
  </property>
  <property fmtid="{D5CDD505-2E9C-101B-9397-08002B2CF9AE}" pid="5" name="Contributor">
    <vt:lpwstr>Magnusson, Ulf</vt:lpwstr>
  </property>
  <property fmtid="{D5CDD505-2E9C-101B-9397-08002B2CF9AE}" pid="6" name="DocumentClass">
    <vt:lpwstr>Standard</vt:lpwstr>
  </property>
  <property fmtid="{D5CDD505-2E9C-101B-9397-08002B2CF9AE}" pid="7" name="ResourceType">
    <vt:lpwstr>Text</vt:lpwstr>
  </property>
  <property fmtid="{D5CDD505-2E9C-101B-9397-08002B2CF9AE}" pid="8" name="Audience">
    <vt:lpwstr/>
  </property>
  <property fmtid="{D5CDD505-2E9C-101B-9397-08002B2CF9AE}" pid="9" name="Category_0">
    <vt:lpwstr/>
  </property>
  <property fmtid="{D5CDD505-2E9C-101B-9397-08002B2CF9AE}" pid="10" name="Status">
    <vt:lpwstr/>
  </property>
  <property fmtid="{D5CDD505-2E9C-101B-9397-08002B2CF9AE}" pid="11" name="Note">
    <vt:lpwstr/>
  </property>
  <property fmtid="{D5CDD505-2E9C-101B-9397-08002B2CF9AE}" pid="12" name="Beteckning">
    <vt:lpwstr/>
  </property>
  <property fmtid="{D5CDD505-2E9C-101B-9397-08002B2CF9AE}" pid="13" name="Process">
    <vt:lpwstr/>
  </property>
  <property fmtid="{D5CDD505-2E9C-101B-9397-08002B2CF9AE}" pid="14" name="DocumentDate">
    <vt:lpwstr/>
  </property>
  <property fmtid="{D5CDD505-2E9C-101B-9397-08002B2CF9AE}" pid="15" name="Description_0">
    <vt:lpwstr/>
  </property>
  <property fmtid="{D5CDD505-2E9C-101B-9397-08002B2CF9AE}" pid="16" name="Keywords_0">
    <vt:lpwstr/>
  </property>
  <property fmtid="{D5CDD505-2E9C-101B-9397-08002B2CF9AE}" pid="17" name="Topic">
    <vt:lpwstr/>
  </property>
  <property fmtid="{D5CDD505-2E9C-101B-9397-08002B2CF9AE}" pid="18" name="StartDate">
    <vt:lpwstr/>
  </property>
  <property fmtid="{D5CDD505-2E9C-101B-9397-08002B2CF9AE}" pid="19" name="EndDate">
    <vt:lpwstr/>
  </property>
  <property fmtid="{D5CDD505-2E9C-101B-9397-08002B2CF9AE}" pid="20" name="ContentTypeId">
    <vt:lpwstr>0x01010045EA0F094F004518B84DB44312DF9C090067D6FAB232414F3EACAF2EFEA3980EDB00C22BE78AFC72674493445939924BC6C5</vt:lpwstr>
  </property>
  <property fmtid="{D5CDD505-2E9C-101B-9397-08002B2CF9AE}" pid="21" name="TrvConfidentialityLevel">
    <vt:lpwstr>159;#2 Intern|13d1762d-2ea9-450d-b05e-1ff9ba31b2a4</vt:lpwstr>
  </property>
</Properties>
</file>