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trafikverket.local\arbetsrum\Planera_Trspsys\Gällande föruts o indata\230401\Prognos och analysverktyg\MESS\"/>
    </mc:Choice>
  </mc:AlternateContent>
  <bookViews>
    <workbookView xWindow="0" yWindow="645" windowWidth="5430" windowHeight="6510" firstSheet="5" activeTab="5"/>
  </bookViews>
  <sheets>
    <sheet name="Att göra" sheetId="10" state="hidden" r:id="rId1"/>
    <sheet name="Test" sheetId="14" state="hidden" r:id="rId2"/>
    <sheet name="MCS Indata &amp; Resultat" sheetId="12" r:id="rId3"/>
    <sheet name="MCS Delresultat" sheetId="25" r:id="rId4"/>
    <sheet name="Samhällsekonomisk kalkyl" sheetId="11" r:id="rId5"/>
    <sheet name="Komplettering MCS_kö" sheetId="1" r:id="rId6"/>
    <sheet name="Uppgradering MCS_VH" sheetId="2" r:id="rId7"/>
    <sheet name="Normalvärden" sheetId="6" r:id="rId8"/>
    <sheet name="Sekundärolyckor" sheetId="5" r:id="rId9"/>
    <sheet name="Tät trafik" sheetId="3" r:id="rId10"/>
    <sheet name="Miljö" sheetId="9" r:id="rId11"/>
    <sheet name="Investering &amp; drift " sheetId="8" r:id="rId12"/>
    <sheet name="ASEK 7.1" sheetId="13" r:id="rId13"/>
    <sheet name="Instruktion" sheetId="20" r:id="rId14"/>
    <sheet name="Indexomräkning kostnad" sheetId="19" r:id="rId15"/>
    <sheet name="Kapitaliserad inv kost" sheetId="24" r:id="rId16"/>
    <sheet name="Blad1" sheetId="26" r:id="rId17"/>
    <sheet name="Index" sheetId="22" r:id="rId18"/>
    <sheet name="Metodik" sheetId="4" r:id="rId19"/>
  </sheets>
  <externalReferences>
    <externalReference r:id="rId20"/>
  </externalReferences>
  <definedNames>
    <definedName name="_xlnm._FilterDatabase" localSheetId="12" hidden="1">'ASEK 7.1'!$L$22:$M$49</definedName>
    <definedName name="GyldigeStigninger">[1]Tabeller!$D$28:$D$40</definedName>
    <definedName name="GyldigeV1">[1]Tabeller!$G$28:$G$33</definedName>
    <definedName name="Qu">[1]Tabeller!$K$66:$K$73</definedName>
    <definedName name="Qö">[1]Tabeller!$A$66:$A$103</definedName>
    <definedName name="Typ">Index!$J$1:$J$2</definedName>
    <definedName name="_xlnm.Print_Area" localSheetId="14">'Indexomräkning kostnad'!$B$2:$G$30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9" l="1"/>
  <c r="N20" i="19" l="1"/>
  <c r="N14" i="19"/>
  <c r="F19" i="19"/>
  <c r="F14" i="19"/>
  <c r="E45" i="12" l="1"/>
  <c r="H55" i="6" l="1"/>
  <c r="H50" i="6" l="1"/>
  <c r="H51" i="6"/>
  <c r="H52" i="6"/>
  <c r="H56" i="6"/>
  <c r="H57" i="6"/>
  <c r="A59" i="6"/>
  <c r="H58" i="6" l="1"/>
  <c r="G32" i="6"/>
  <c r="H32" i="6" s="1"/>
  <c r="O37" i="6"/>
  <c r="M37" i="6"/>
  <c r="K37" i="6"/>
  <c r="I37" i="6"/>
  <c r="O36" i="6"/>
  <c r="M36" i="6"/>
  <c r="K36" i="6"/>
  <c r="I36" i="6"/>
  <c r="O40" i="6"/>
  <c r="M40" i="6"/>
  <c r="K40" i="6"/>
  <c r="I40" i="6"/>
  <c r="O39" i="6"/>
  <c r="M39" i="6"/>
  <c r="K39" i="6"/>
  <c r="I39" i="6"/>
  <c r="O38" i="6"/>
  <c r="M38" i="6"/>
  <c r="K38" i="6"/>
  <c r="I38" i="6"/>
  <c r="O35" i="6" l="1"/>
  <c r="K35" i="6"/>
  <c r="M35" i="6"/>
  <c r="I35" i="6"/>
  <c r="I32" i="6" s="1"/>
  <c r="J32" i="6" l="1"/>
  <c r="K32" i="6" s="1"/>
  <c r="B13" i="13"/>
  <c r="B16" i="13" s="1"/>
  <c r="D2" i="2"/>
  <c r="J2" i="3" s="1"/>
  <c r="P39" i="3"/>
  <c r="D3" i="2"/>
  <c r="D4" i="2"/>
  <c r="D6" i="2"/>
  <c r="D5" i="2"/>
  <c r="I2" i="6" s="1"/>
  <c r="U4" i="3"/>
  <c r="U13" i="3" s="1"/>
  <c r="H3" i="5"/>
  <c r="H12" i="5" s="1"/>
  <c r="D9" i="1" s="1"/>
  <c r="D15" i="1" s="1"/>
  <c r="D3" i="1"/>
  <c r="D4" i="1"/>
  <c r="D6" i="1"/>
  <c r="D2" i="1"/>
  <c r="D5" i="1"/>
  <c r="G2" i="6" s="1"/>
  <c r="O39" i="3"/>
  <c r="D14" i="2" s="1"/>
  <c r="F11" i="19"/>
  <c r="E26" i="19" s="1"/>
  <c r="A47" i="8"/>
  <c r="D18" i="24"/>
  <c r="D19" i="24"/>
  <c r="D20" i="24"/>
  <c r="D21" i="24"/>
  <c r="D22" i="24"/>
  <c r="D23" i="24"/>
  <c r="D24" i="24"/>
  <c r="D25" i="24"/>
  <c r="D26" i="24"/>
  <c r="K18" i="24"/>
  <c r="K19" i="24"/>
  <c r="K20" i="24"/>
  <c r="K21" i="24"/>
  <c r="K22" i="24"/>
  <c r="K23" i="24"/>
  <c r="K24" i="24"/>
  <c r="K25" i="24"/>
  <c r="K26" i="24"/>
  <c r="B5" i="5"/>
  <c r="C5" i="5" s="1"/>
  <c r="D5" i="5" s="1"/>
  <c r="D53" i="11"/>
  <c r="H16" i="11"/>
  <c r="Q10" i="11"/>
  <c r="S10" i="11" s="1"/>
  <c r="C16" i="24"/>
  <c r="C17" i="24" s="1"/>
  <c r="C18" i="24" s="1"/>
  <c r="C19" i="24" s="1"/>
  <c r="C20" i="24" s="1"/>
  <c r="C21" i="24" s="1"/>
  <c r="C22" i="24" s="1"/>
  <c r="C23" i="24" s="1"/>
  <c r="C24" i="24" s="1"/>
  <c r="C25" i="24" s="1"/>
  <c r="C26" i="24" s="1"/>
  <c r="K9" i="8"/>
  <c r="C60" i="12" s="1"/>
  <c r="N10" i="19" s="1"/>
  <c r="L9" i="8"/>
  <c r="C63" i="12" s="1"/>
  <c r="E21" i="2" s="1"/>
  <c r="D21" i="2" s="1"/>
  <c r="O9" i="11" s="1"/>
  <c r="C127" i="12" s="1"/>
  <c r="N13" i="19"/>
  <c r="N19" i="19"/>
  <c r="J16" i="24"/>
  <c r="J17" i="24" s="1"/>
  <c r="J18" i="24" s="1"/>
  <c r="J19" i="24" s="1"/>
  <c r="J20" i="24" s="1"/>
  <c r="J21" i="24" s="1"/>
  <c r="J22" i="24" s="1"/>
  <c r="J23" i="24" s="1"/>
  <c r="J24" i="24" s="1"/>
  <c r="J25" i="24" s="1"/>
  <c r="J26" i="24" s="1"/>
  <c r="G16" i="6"/>
  <c r="I16" i="6"/>
  <c r="K16" i="6"/>
  <c r="M16" i="6"/>
  <c r="H17" i="11"/>
  <c r="B49" i="11" s="1"/>
  <c r="C26" i="5"/>
  <c r="G63" i="5"/>
  <c r="C31" i="5" s="1"/>
  <c r="C27" i="5"/>
  <c r="G65" i="5"/>
  <c r="G75" i="5"/>
  <c r="C28" i="5"/>
  <c r="G67" i="5"/>
  <c r="G73" i="5"/>
  <c r="G77" i="5"/>
  <c r="E82" i="5"/>
  <c r="E84" i="5" s="1"/>
  <c r="D16" i="1"/>
  <c r="D13" i="1"/>
  <c r="C16" i="9"/>
  <c r="D16" i="9"/>
  <c r="J13" i="3"/>
  <c r="J14" i="3" s="1"/>
  <c r="J15" i="3" s="1"/>
  <c r="J16" i="3" s="1"/>
  <c r="D15" i="2"/>
  <c r="C17" i="9"/>
  <c r="D17" i="9"/>
  <c r="D19" i="2"/>
  <c r="C10" i="9"/>
  <c r="D10" i="9"/>
  <c r="M26" i="19"/>
  <c r="C4" i="9"/>
  <c r="D4" i="9"/>
  <c r="P6" i="3"/>
  <c r="Q6" i="3" s="1"/>
  <c r="O7" i="3"/>
  <c r="P7" i="3" s="1"/>
  <c r="Q7" i="3" s="1"/>
  <c r="O8" i="3"/>
  <c r="P8" i="3" s="1"/>
  <c r="Q8" i="3" s="1"/>
  <c r="O9" i="3"/>
  <c r="P9" i="3" s="1"/>
  <c r="Q9" i="3" s="1"/>
  <c r="O10" i="3"/>
  <c r="P10" i="3" s="1"/>
  <c r="Q10" i="3" s="1"/>
  <c r="O11" i="3"/>
  <c r="P11" i="3" s="1"/>
  <c r="Q11" i="3" s="1"/>
  <c r="D21" i="1"/>
  <c r="B6" i="5"/>
  <c r="C6" i="5" s="1"/>
  <c r="D6" i="5" s="1"/>
  <c r="B7" i="5"/>
  <c r="C7" i="5" s="1"/>
  <c r="D7" i="5" s="1"/>
  <c r="B8" i="5"/>
  <c r="C8" i="5" s="1"/>
  <c r="D8" i="5" s="1"/>
  <c r="B9" i="5"/>
  <c r="C9" i="5" s="1"/>
  <c r="D9" i="5" s="1"/>
  <c r="B10" i="5"/>
  <c r="C10" i="5" s="1"/>
  <c r="D10" i="5" s="1"/>
  <c r="J6" i="3"/>
  <c r="J7" i="3" s="1"/>
  <c r="J8" i="3" s="1"/>
  <c r="J9" i="3" s="1"/>
  <c r="E6" i="8"/>
  <c r="G20" i="6"/>
  <c r="G9" i="6"/>
  <c r="I20" i="6"/>
  <c r="I9" i="6"/>
  <c r="K20" i="6"/>
  <c r="K9" i="6"/>
  <c r="M20" i="6"/>
  <c r="M9" i="6"/>
  <c r="M15" i="6"/>
  <c r="M22" i="6"/>
  <c r="E7" i="8"/>
  <c r="F7" i="8"/>
  <c r="F6" i="8"/>
  <c r="D25" i="9"/>
  <c r="D24" i="9"/>
  <c r="D23" i="9"/>
  <c r="D22" i="9"/>
  <c r="D21" i="9"/>
  <c r="D20" i="9"/>
  <c r="D19" i="9"/>
  <c r="D18" i="9"/>
  <c r="D15" i="9"/>
  <c r="D14" i="9"/>
  <c r="D13" i="9"/>
  <c r="D12" i="9"/>
  <c r="D11" i="9"/>
  <c r="D9" i="9"/>
  <c r="D8" i="9"/>
  <c r="D7" i="9"/>
  <c r="D6" i="9"/>
  <c r="D5" i="9"/>
  <c r="C25" i="9"/>
  <c r="C24" i="9"/>
  <c r="C23" i="9"/>
  <c r="C22" i="9"/>
  <c r="C21" i="9"/>
  <c r="C20" i="9"/>
  <c r="C19" i="9"/>
  <c r="C18" i="9"/>
  <c r="C15" i="9"/>
  <c r="C14" i="9"/>
  <c r="C13" i="9"/>
  <c r="C12" i="9"/>
  <c r="C11" i="9"/>
  <c r="C9" i="9"/>
  <c r="C8" i="9"/>
  <c r="C7" i="9"/>
  <c r="C6" i="9"/>
  <c r="C5" i="9"/>
  <c r="M21" i="6"/>
  <c r="M19" i="6"/>
  <c r="M17" i="6"/>
  <c r="M14" i="6"/>
  <c r="M13" i="6"/>
  <c r="M10" i="6"/>
  <c r="M8" i="6"/>
  <c r="M7" i="6"/>
  <c r="M11" i="6"/>
  <c r="M6" i="6"/>
  <c r="G71" i="6"/>
  <c r="H71" i="6" s="1"/>
  <c r="J71" i="6"/>
  <c r="K71" i="6"/>
  <c r="K67" i="6"/>
  <c r="K68" i="6"/>
  <c r="K69" i="6"/>
  <c r="J67" i="6"/>
  <c r="J69" i="6"/>
  <c r="C67" i="6"/>
  <c r="C69" i="6"/>
  <c r="C71" i="6"/>
  <c r="C68" i="6"/>
  <c r="B67" i="6"/>
  <c r="B69" i="6"/>
  <c r="B71" i="6"/>
  <c r="B68" i="6"/>
  <c r="G6" i="6"/>
  <c r="G7" i="6"/>
  <c r="G8" i="6"/>
  <c r="G10" i="6"/>
  <c r="G11" i="6"/>
  <c r="G13" i="6"/>
  <c r="G14" i="6"/>
  <c r="G15" i="6"/>
  <c r="G17" i="6"/>
  <c r="G19" i="6"/>
  <c r="G21" i="6"/>
  <c r="G22" i="6"/>
  <c r="I6" i="6"/>
  <c r="I7" i="6"/>
  <c r="I8" i="6"/>
  <c r="I10" i="6"/>
  <c r="I11" i="6"/>
  <c r="I13" i="6"/>
  <c r="I14" i="6"/>
  <c r="I15" i="6"/>
  <c r="I17" i="6"/>
  <c r="I19" i="6"/>
  <c r="I21" i="6"/>
  <c r="I22" i="6"/>
  <c r="K6" i="6"/>
  <c r="K7" i="6"/>
  <c r="K8" i="6"/>
  <c r="K10" i="6"/>
  <c r="K11" i="6"/>
  <c r="K13" i="6"/>
  <c r="K14" i="6"/>
  <c r="K15" i="6"/>
  <c r="K17" i="6"/>
  <c r="K19" i="6"/>
  <c r="K21" i="6"/>
  <c r="K22" i="6"/>
  <c r="B17" i="11"/>
  <c r="B16" i="11"/>
  <c r="O17" i="11"/>
  <c r="O16" i="11"/>
  <c r="G76" i="5"/>
  <c r="G70" i="5"/>
  <c r="G71" i="5"/>
  <c r="G72" i="5"/>
  <c r="G80" i="5"/>
  <c r="G66" i="5"/>
  <c r="G68" i="5"/>
  <c r="G69" i="5"/>
  <c r="G74" i="5"/>
  <c r="G78" i="5"/>
  <c r="G79" i="5"/>
  <c r="C30" i="5"/>
  <c r="C29" i="5"/>
  <c r="G81" i="5"/>
  <c r="G64" i="5"/>
  <c r="B22" i="3"/>
  <c r="D22" i="3" s="1"/>
  <c r="A5" i="3"/>
  <c r="A6" i="3" s="1"/>
  <c r="A7" i="3" s="1"/>
  <c r="B21" i="3"/>
  <c r="D21" i="3" s="1"/>
  <c r="B20" i="3"/>
  <c r="D20" i="3" s="1"/>
  <c r="B19" i="3"/>
  <c r="D19" i="3" s="1"/>
  <c r="B18" i="3"/>
  <c r="D18" i="3" s="1"/>
  <c r="B17" i="3"/>
  <c r="D17" i="3" s="1"/>
  <c r="B15" i="3"/>
  <c r="D15" i="3" s="1"/>
  <c r="A12" i="3"/>
  <c r="A13" i="3" s="1"/>
  <c r="A14" i="3" s="1"/>
  <c r="B14" i="3"/>
  <c r="D14" i="3" s="1"/>
  <c r="B13" i="3"/>
  <c r="B12" i="3"/>
  <c r="B11" i="3"/>
  <c r="C11" i="3" s="1"/>
  <c r="B9" i="3"/>
  <c r="D9" i="3" s="1"/>
  <c r="B8" i="3"/>
  <c r="D8" i="3" s="1"/>
  <c r="B7" i="3"/>
  <c r="D7" i="3" s="1"/>
  <c r="B6" i="3"/>
  <c r="D6" i="3" s="1"/>
  <c r="B5" i="3"/>
  <c r="D5" i="3" s="1"/>
  <c r="B4" i="3"/>
  <c r="D4" i="3" s="1"/>
  <c r="E4" i="3" s="1"/>
  <c r="F13" i="19" l="1"/>
  <c r="C32" i="5"/>
  <c r="C34" i="5"/>
  <c r="C12" i="3"/>
  <c r="C13" i="3"/>
  <c r="E53" i="11"/>
  <c r="E7" i="3"/>
  <c r="E14" i="3"/>
  <c r="D11" i="3"/>
  <c r="E11" i="3" s="1"/>
  <c r="D12" i="3"/>
  <c r="E12" i="3" s="1"/>
  <c r="C35" i="5"/>
  <c r="E6" i="3"/>
  <c r="D13" i="3"/>
  <c r="E13" i="3" s="1"/>
  <c r="C33" i="5"/>
  <c r="E5" i="3"/>
  <c r="A15" i="3"/>
  <c r="C15" i="3" s="1"/>
  <c r="C14" i="3"/>
  <c r="J18" i="3"/>
  <c r="J19" i="3" s="1"/>
  <c r="J20" i="3" s="1"/>
  <c r="J21" i="3" s="1"/>
  <c r="J22" i="3" s="1"/>
  <c r="J23" i="3" s="1"/>
  <c r="J10" i="3"/>
  <c r="A8" i="3"/>
  <c r="C7" i="3"/>
  <c r="L26" i="24"/>
  <c r="L22" i="24"/>
  <c r="L18" i="24"/>
  <c r="E24" i="24"/>
  <c r="E20" i="24"/>
  <c r="C4" i="3"/>
  <c r="C5" i="3"/>
  <c r="C6" i="3"/>
  <c r="L25" i="24"/>
  <c r="L21" i="24"/>
  <c r="E23" i="24"/>
  <c r="E19" i="24"/>
  <c r="D17" i="2"/>
  <c r="L24" i="24"/>
  <c r="L20" i="24"/>
  <c r="E26" i="24"/>
  <c r="E22" i="24"/>
  <c r="E18" i="24"/>
  <c r="B15" i="13"/>
  <c r="D15" i="13" s="1"/>
  <c r="L23" i="24"/>
  <c r="L19" i="24"/>
  <c r="E25" i="24"/>
  <c r="E21" i="24"/>
  <c r="D18" i="1"/>
  <c r="E20" i="2"/>
  <c r="D20" i="2" s="1"/>
  <c r="Q8" i="11" s="1"/>
  <c r="S8" i="11" s="1"/>
  <c r="B70" i="6"/>
  <c r="B72" i="6" s="1"/>
  <c r="D18" i="2"/>
  <c r="H2" i="6"/>
  <c r="C16" i="13"/>
  <c r="E16" i="13" s="1"/>
  <c r="D16" i="13"/>
  <c r="L32" i="6"/>
  <c r="C70" i="6"/>
  <c r="C72" i="6" s="1"/>
  <c r="L71" i="6"/>
  <c r="M71" i="6" s="1"/>
  <c r="N71" i="6" s="1"/>
  <c r="J70" i="6"/>
  <c r="K70" i="6"/>
  <c r="D20" i="1"/>
  <c r="B6" i="1"/>
  <c r="E8" i="25" s="1"/>
  <c r="D17" i="1"/>
  <c r="D16" i="2"/>
  <c r="A30" i="3"/>
  <c r="K2" i="3"/>
  <c r="J25" i="3" s="1"/>
  <c r="D7" i="2" s="1"/>
  <c r="D10" i="2" s="1"/>
  <c r="A29" i="3"/>
  <c r="C44" i="3" s="1"/>
  <c r="N26" i="19"/>
  <c r="N15" i="19"/>
  <c r="A17" i="5"/>
  <c r="B6" i="2"/>
  <c r="E37" i="25" s="1"/>
  <c r="A16" i="5"/>
  <c r="C25" i="5" s="1"/>
  <c r="F2" i="6"/>
  <c r="L16" i="8"/>
  <c r="M16" i="8" s="1"/>
  <c r="B73" i="6" l="1"/>
  <c r="C73" i="6"/>
  <c r="D17" i="13"/>
  <c r="H18" i="11" s="1"/>
  <c r="B53" i="11" s="1"/>
  <c r="A17" i="3"/>
  <c r="C8" i="3"/>
  <c r="A9" i="3"/>
  <c r="E15" i="3"/>
  <c r="C15" i="13"/>
  <c r="E15" i="13" s="1"/>
  <c r="E17" i="13" s="1"/>
  <c r="E8" i="3"/>
  <c r="B22" i="2"/>
  <c r="B25" i="2" s="1"/>
  <c r="I24" i="6"/>
  <c r="I25" i="6" s="1"/>
  <c r="K24" i="6"/>
  <c r="K25" i="6" s="1"/>
  <c r="M32" i="6"/>
  <c r="M24" i="6"/>
  <c r="M25" i="6" s="1"/>
  <c r="K29" i="6" s="1"/>
  <c r="O24" i="6"/>
  <c r="K7" i="1" s="1"/>
  <c r="B25" i="5"/>
  <c r="B26" i="5" s="1"/>
  <c r="B19" i="5" s="1"/>
  <c r="G24" i="6"/>
  <c r="G25" i="6" s="1"/>
  <c r="G29" i="6" s="1"/>
  <c r="C41" i="3"/>
  <c r="F55" i="3"/>
  <c r="F56" i="3"/>
  <c r="C42" i="3"/>
  <c r="C40" i="3"/>
  <c r="C39" i="3"/>
  <c r="B39" i="3" s="1"/>
  <c r="B44" i="3" s="1"/>
  <c r="B37" i="3" s="1"/>
  <c r="C43" i="3"/>
  <c r="L6" i="1"/>
  <c r="B41" i="5"/>
  <c r="B40" i="5" s="1"/>
  <c r="E39" i="12" s="1"/>
  <c r="B18" i="1"/>
  <c r="D19" i="1" s="1"/>
  <c r="B20" i="1" s="1"/>
  <c r="G74" i="6"/>
  <c r="E27" i="12"/>
  <c r="C27" i="12"/>
  <c r="N18" i="19"/>
  <c r="N21" i="19" s="1"/>
  <c r="N28" i="19" s="1"/>
  <c r="K17" i="24" s="1"/>
  <c r="N27" i="19"/>
  <c r="D9" i="2"/>
  <c r="B7" i="2"/>
  <c r="J5" i="8"/>
  <c r="C48" i="12" s="1"/>
  <c r="H8" i="8"/>
  <c r="I5" i="8"/>
  <c r="C51" i="12" s="1"/>
  <c r="E24" i="1" s="1"/>
  <c r="D24" i="1" s="1"/>
  <c r="H9" i="11" s="1"/>
  <c r="H5" i="8"/>
  <c r="C42" i="12" s="1"/>
  <c r="I8" i="8"/>
  <c r="O23" i="6"/>
  <c r="G23" i="6"/>
  <c r="M23" i="6"/>
  <c r="K23" i="6"/>
  <c r="C23" i="6"/>
  <c r="I23" i="6"/>
  <c r="H29" i="6" l="1"/>
  <c r="D54" i="11"/>
  <c r="D55" i="11" s="1"/>
  <c r="B18" i="11"/>
  <c r="O18" i="11"/>
  <c r="H19" i="11"/>
  <c r="B19" i="11"/>
  <c r="O19" i="11"/>
  <c r="C9" i="3"/>
  <c r="E9" i="3"/>
  <c r="C17" i="3"/>
  <c r="A18" i="3"/>
  <c r="E17" i="3"/>
  <c r="B27" i="5"/>
  <c r="B20" i="5" s="1"/>
  <c r="B29" i="5"/>
  <c r="B22" i="5" s="1"/>
  <c r="E30" i="12"/>
  <c r="B28" i="5"/>
  <c r="B21" i="5" s="1"/>
  <c r="B30" i="5"/>
  <c r="B23" i="5" s="1"/>
  <c r="B40" i="3"/>
  <c r="B33" i="3" s="1"/>
  <c r="N32" i="6"/>
  <c r="O32" i="6" s="1"/>
  <c r="J29" i="6" s="1"/>
  <c r="I29" i="6"/>
  <c r="B10" i="2"/>
  <c r="E44" i="25" s="1"/>
  <c r="C30" i="12"/>
  <c r="E7" i="1" s="1"/>
  <c r="D7" i="1" s="1"/>
  <c r="B8" i="1" s="1"/>
  <c r="E27" i="25"/>
  <c r="E25" i="25"/>
  <c r="C39" i="12"/>
  <c r="E14" i="1" s="1"/>
  <c r="D14" i="1" s="1"/>
  <c r="B42" i="3"/>
  <c r="B35" i="3" s="1"/>
  <c r="B41" i="3"/>
  <c r="B34" i="3" s="1"/>
  <c r="B43" i="3"/>
  <c r="B36" i="3" s="1"/>
  <c r="C53" i="11"/>
  <c r="B54" i="11"/>
  <c r="L17" i="24"/>
  <c r="L27" i="24" s="1"/>
  <c r="L28" i="24" s="1"/>
  <c r="Q11" i="11" s="1"/>
  <c r="E125" i="12" s="1"/>
  <c r="K27" i="24"/>
  <c r="B21" i="1"/>
  <c r="H6" i="11" s="1"/>
  <c r="E29" i="25"/>
  <c r="E22" i="1"/>
  <c r="D22" i="1" s="1"/>
  <c r="F10" i="19"/>
  <c r="B9" i="11"/>
  <c r="C79" i="12"/>
  <c r="E23" i="1"/>
  <c r="D23" i="1" s="1"/>
  <c r="H10" i="11"/>
  <c r="D12" i="2"/>
  <c r="B12" i="2" s="1"/>
  <c r="E47" i="25" s="1"/>
  <c r="C33" i="12"/>
  <c r="E63" i="12"/>
  <c r="E42" i="12"/>
  <c r="E33" i="12"/>
  <c r="E48" i="12"/>
  <c r="E60" i="12"/>
  <c r="E51" i="12"/>
  <c r="B17" i="2"/>
  <c r="B16" i="2"/>
  <c r="E54" i="25" s="1"/>
  <c r="E39" i="25"/>
  <c r="B55" i="3"/>
  <c r="E54" i="11" l="1"/>
  <c r="C18" i="3"/>
  <c r="E18" i="3"/>
  <c r="A19" i="3"/>
  <c r="B24" i="5"/>
  <c r="B14" i="1" s="1"/>
  <c r="E20" i="25" s="1"/>
  <c r="B8" i="2"/>
  <c r="B7" i="1"/>
  <c r="D11" i="2"/>
  <c r="B11" i="2" s="1"/>
  <c r="O4" i="11" s="1"/>
  <c r="E8" i="2"/>
  <c r="D8" i="2" s="1"/>
  <c r="B9" i="2" s="1"/>
  <c r="E42" i="25" s="1"/>
  <c r="D10" i="1"/>
  <c r="C54" i="11"/>
  <c r="B55" i="11"/>
  <c r="D56" i="11"/>
  <c r="E55" i="11"/>
  <c r="C74" i="12"/>
  <c r="E12" i="2"/>
  <c r="E11" i="1"/>
  <c r="D11" i="1" s="1"/>
  <c r="J10" i="11"/>
  <c r="L10" i="11" s="1"/>
  <c r="B10" i="11"/>
  <c r="C175" i="12"/>
  <c r="G55" i="3"/>
  <c r="G56" i="3"/>
  <c r="E56" i="25"/>
  <c r="B18" i="2"/>
  <c r="F15" i="19"/>
  <c r="F26" i="19"/>
  <c r="J8" i="11"/>
  <c r="B25" i="1"/>
  <c r="B28" i="1" s="1"/>
  <c r="B9" i="1"/>
  <c r="E11" i="25"/>
  <c r="B15" i="1" l="1"/>
  <c r="D10" i="11"/>
  <c r="F10" i="11" s="1"/>
  <c r="A20" i="3"/>
  <c r="C19" i="3"/>
  <c r="E19" i="3"/>
  <c r="B56" i="11"/>
  <c r="C55" i="11"/>
  <c r="E56" i="11"/>
  <c r="D57" i="11"/>
  <c r="E13" i="25"/>
  <c r="B10" i="1"/>
  <c r="F27" i="19"/>
  <c r="F18" i="19"/>
  <c r="F21" i="19" s="1"/>
  <c r="F28" i="19" s="1"/>
  <c r="D17" i="24" s="1"/>
  <c r="B54" i="3"/>
  <c r="H55" i="3"/>
  <c r="B19" i="2"/>
  <c r="O6" i="11" s="1"/>
  <c r="E58" i="25"/>
  <c r="D12" i="1"/>
  <c r="B11" i="1"/>
  <c r="C118" i="12"/>
  <c r="D8" i="11"/>
  <c r="L8" i="11"/>
  <c r="E22" i="25"/>
  <c r="A21" i="3" l="1"/>
  <c r="E20" i="3"/>
  <c r="C20" i="3"/>
  <c r="E57" i="11"/>
  <c r="D58" i="11"/>
  <c r="B57" i="11"/>
  <c r="C56" i="11"/>
  <c r="C122" i="12"/>
  <c r="B6" i="11"/>
  <c r="F8" i="11"/>
  <c r="E16" i="25"/>
  <c r="B12" i="1"/>
  <c r="H4" i="11"/>
  <c r="D27" i="24"/>
  <c r="E17" i="24"/>
  <c r="E27" i="24" s="1"/>
  <c r="E28" i="24" s="1"/>
  <c r="J11" i="11" s="1"/>
  <c r="C57" i="12"/>
  <c r="E13" i="2" s="1"/>
  <c r="D13" i="2" s="1"/>
  <c r="B38" i="3" s="1"/>
  <c r="B13" i="2" s="1"/>
  <c r="E57" i="12"/>
  <c r="C21" i="3" l="1"/>
  <c r="A22" i="3"/>
  <c r="E21" i="3"/>
  <c r="D59" i="11"/>
  <c r="E58" i="11"/>
  <c r="B58" i="11"/>
  <c r="C57" i="11"/>
  <c r="D11" i="11"/>
  <c r="E173" i="12" s="1"/>
  <c r="E77" i="12"/>
  <c r="C170" i="12"/>
  <c r="B14" i="2"/>
  <c r="E49" i="25"/>
  <c r="E18" i="25"/>
  <c r="B16" i="1"/>
  <c r="C70" i="12"/>
  <c r="B4" i="11"/>
  <c r="E22" i="3" l="1"/>
  <c r="C22" i="3"/>
  <c r="C58" i="11"/>
  <c r="B59" i="11"/>
  <c r="E59" i="11"/>
  <c r="D60" i="11"/>
  <c r="B15" i="2"/>
  <c r="E51" i="25"/>
  <c r="H5" i="11"/>
  <c r="B27" i="1"/>
  <c r="C166" i="12"/>
  <c r="D61" i="11" l="1"/>
  <c r="E60" i="11"/>
  <c r="B60" i="11"/>
  <c r="C59" i="11"/>
  <c r="C72" i="12"/>
  <c r="O5" i="11"/>
  <c r="B24" i="2"/>
  <c r="C60" i="11" l="1"/>
  <c r="B61" i="11"/>
  <c r="E61" i="11"/>
  <c r="D62" i="11"/>
  <c r="C120" i="12"/>
  <c r="B5" i="11"/>
  <c r="D63" i="11" l="1"/>
  <c r="E62" i="11"/>
  <c r="B62" i="11"/>
  <c r="C61" i="11"/>
  <c r="C168" i="12"/>
  <c r="C62" i="11" l="1"/>
  <c r="B63" i="11"/>
  <c r="E63" i="11"/>
  <c r="D64" i="11"/>
  <c r="D65" i="11" l="1"/>
  <c r="E64" i="11"/>
  <c r="C63" i="11"/>
  <c r="B64" i="11"/>
  <c r="C64" i="11" l="1"/>
  <c r="B65" i="11"/>
  <c r="E65" i="11"/>
  <c r="D66" i="11"/>
  <c r="E66" i="11" l="1"/>
  <c r="D67" i="11"/>
  <c r="B66" i="11"/>
  <c r="C65" i="11"/>
  <c r="C66" i="11" l="1"/>
  <c r="B67" i="11"/>
  <c r="E67" i="11"/>
  <c r="D68" i="11"/>
  <c r="E68" i="11" l="1"/>
  <c r="D69" i="11"/>
  <c r="C67" i="11"/>
  <c r="B68" i="11"/>
  <c r="E69" i="11" l="1"/>
  <c r="D70" i="11"/>
  <c r="C68" i="11"/>
  <c r="B69" i="11"/>
  <c r="D71" i="11" l="1"/>
  <c r="E70" i="11"/>
  <c r="B70" i="11"/>
  <c r="C69" i="11"/>
  <c r="C70" i="11" l="1"/>
  <c r="B71" i="11"/>
  <c r="E71" i="11"/>
  <c r="D72" i="11"/>
  <c r="E72" i="11" s="1"/>
  <c r="E52" i="11" l="1"/>
  <c r="D9" i="11" s="1"/>
  <c r="B72" i="11"/>
  <c r="C72" i="11" s="1"/>
  <c r="C71" i="11"/>
  <c r="J9" i="11" l="1"/>
  <c r="J12" i="11" s="1"/>
  <c r="Q9" i="11"/>
  <c r="Q12" i="11" s="1"/>
  <c r="E127" i="12" s="1"/>
  <c r="Q6" i="11"/>
  <c r="D6" i="11"/>
  <c r="J6" i="11"/>
  <c r="C52" i="11"/>
  <c r="F9" i="11"/>
  <c r="F11" i="11"/>
  <c r="L9" i="11" l="1"/>
  <c r="L11" i="11"/>
  <c r="S11" i="11"/>
  <c r="S9" i="11"/>
  <c r="J4" i="11"/>
  <c r="D5" i="11"/>
  <c r="Q4" i="11"/>
  <c r="Q5" i="11"/>
  <c r="D4" i="11"/>
  <c r="J5" i="11"/>
  <c r="E79" i="12"/>
  <c r="D12" i="11"/>
  <c r="E72" i="12" l="1"/>
  <c r="L5" i="11"/>
  <c r="F4" i="11"/>
  <c r="E166" i="12"/>
  <c r="F5" i="11"/>
  <c r="E168" i="12"/>
  <c r="L6" i="11"/>
  <c r="E74" i="12"/>
  <c r="E70" i="12"/>
  <c r="L4" i="11"/>
  <c r="J13" i="11"/>
  <c r="E118" i="12"/>
  <c r="S4" i="11"/>
  <c r="Q13" i="11"/>
  <c r="S6" i="11"/>
  <c r="E122" i="12"/>
  <c r="S5" i="11"/>
  <c r="E120" i="12"/>
  <c r="E170" i="12"/>
  <c r="F6" i="11"/>
  <c r="E175" i="12"/>
  <c r="D13" i="11"/>
  <c r="Q14" i="11" l="1"/>
  <c r="E131" i="12" s="1"/>
  <c r="Q15" i="11"/>
  <c r="E129" i="12"/>
  <c r="J15" i="11"/>
  <c r="J14" i="11"/>
  <c r="E83" i="12" s="1"/>
  <c r="E81" i="12"/>
  <c r="E177" i="12"/>
  <c r="D14" i="11"/>
  <c r="E179" i="12" s="1"/>
  <c r="D15" i="11"/>
</calcChain>
</file>

<file path=xl/comments1.xml><?xml version="1.0" encoding="utf-8"?>
<comments xmlns="http://schemas.openxmlformats.org/spreadsheetml/2006/main">
  <authors>
    <author>Granholm Camilla, PLet</author>
  </authors>
  <commentList>
    <comment ref="F11" authorId="0" shapeId="0">
      <text>
        <r>
          <rPr>
            <sz val="9"/>
            <color indexed="81"/>
            <rFont val="Tahoma"/>
            <family val="2"/>
          </rPr>
          <t xml:space="preserve">Index finns inlagt i denna fil fram till och med prisnivå 2020-01. För kostnadskalkyler framtagna i en senare prisnivå måste index läggas in manuellt i cell F13.
</t>
        </r>
      </text>
    </comment>
    <comment ref="N11" authorId="0" shapeId="0">
      <text>
        <r>
          <rPr>
            <sz val="9"/>
            <color indexed="81"/>
            <rFont val="Tahoma"/>
            <family val="2"/>
          </rPr>
          <t xml:space="preserve">Index finns inlagt i denna fil fram till och med prisnivå 2020-01. För kostnadskalkyler framtagna i en senare prisnivå måste index läggas in manuellt i cell F13.
</t>
        </r>
      </text>
    </comment>
  </commentList>
</comments>
</file>

<file path=xl/sharedStrings.xml><?xml version="1.0" encoding="utf-8"?>
<sst xmlns="http://schemas.openxmlformats.org/spreadsheetml/2006/main" count="1437" uniqueCount="855">
  <si>
    <t>v/c=0,7</t>
    <phoneticPr fontId="12" type="noConversion"/>
  </si>
  <si>
    <t>Andel tät trafik</t>
    <phoneticPr fontId="12" type="noConversion"/>
  </si>
  <si>
    <t>Andel överbelastning</t>
    <phoneticPr fontId="12" type="noConversion"/>
  </si>
  <si>
    <t>MV 4f</t>
    <phoneticPr fontId="12" type="noConversion"/>
  </si>
  <si>
    <t>MV 6f</t>
    <phoneticPr fontId="12" type="noConversion"/>
  </si>
  <si>
    <t>MV 8f</t>
    <phoneticPr fontId="12" type="noConversion"/>
  </si>
  <si>
    <t>Skattad andel tät trafik för olika typer av motorvägar</t>
  </si>
  <si>
    <t>länkkapacitet</t>
  </si>
  <si>
    <t>&lt; 1%</t>
  </si>
  <si>
    <t>vägtyp</t>
  </si>
  <si>
    <t>Referenser</t>
  </si>
  <si>
    <t>1-2 Mkr</t>
  </si>
  <si>
    <t>Reversibla körfält</t>
  </si>
  <si>
    <t>0,35 Mkr</t>
  </si>
  <si>
    <t>Störninghantering</t>
  </si>
  <si>
    <t>Vägassistans</t>
  </si>
  <si>
    <t>per fordon</t>
  </si>
  <si>
    <t>X</t>
  </si>
  <si>
    <t>6 Mkr</t>
  </si>
  <si>
    <t>Vägvakt</t>
  </si>
  <si>
    <t>skåp m utr</t>
  </si>
  <si>
    <t>0,6 Mkr</t>
  </si>
  <si>
    <t>Översiktliga kostnader för investering och drift per styck eller utrustad väg</t>
  </si>
  <si>
    <t>Beräkningar med EVA</t>
  </si>
  <si>
    <t>Lind G. och Strömgren P. (2011b)</t>
  </si>
  <si>
    <t>Lind G. och Strömgren P. (2011a)</t>
  </si>
  <si>
    <t>Säkerhetseffekter av trafikledning och ITS. Arbetsrapport 1. Litteraturinventering.</t>
  </si>
  <si>
    <t>Homogenisering av flode i tät trafik</t>
  </si>
  <si>
    <t>Holländska studier visar en minskning av primära olyckor med 15-25% vid h-gräns 120 km/h (Middelham, 2008)</t>
  </si>
  <si>
    <t>Tillämpning</t>
  </si>
  <si>
    <t>Utrustning</t>
  </si>
  <si>
    <t>Enhet</t>
  </si>
  <si>
    <t>Egna värden</t>
    <phoneticPr fontId="27" type="noConversion"/>
  </si>
  <si>
    <t>Tät trafik</t>
    <phoneticPr fontId="66" type="noConversion"/>
  </si>
  <si>
    <r>
      <t xml:space="preserve">Ge möjlighet att ha egna data. VH cell E7 </t>
    </r>
    <r>
      <rPr>
        <sz val="12"/>
        <color indexed="14"/>
        <rFont val="Calibri"/>
        <family val="2"/>
      </rPr>
      <t>Pelle</t>
    </r>
    <phoneticPr fontId="66" type="noConversion"/>
  </si>
  <si>
    <t>Hämtas från flik "Normalvärden" eller egen utredning</t>
    <phoneticPr fontId="27" type="noConversion"/>
  </si>
  <si>
    <t>andel olyckor i tät trafik</t>
    <phoneticPr fontId="27" type="noConversion"/>
  </si>
  <si>
    <r>
      <t xml:space="preserve">Maxvärde 50%. </t>
    </r>
    <r>
      <rPr>
        <sz val="12"/>
        <color indexed="14"/>
        <rFont val="Calibri"/>
        <family val="2"/>
      </rPr>
      <t>Gunnar</t>
    </r>
    <phoneticPr fontId="66" type="noConversion"/>
  </si>
  <si>
    <t>minskning pga harmonisering</t>
    <phoneticPr fontId="27" type="noConversion"/>
  </si>
  <si>
    <t>Källor anges för gjorda antaganden.</t>
  </si>
  <si>
    <t>Kunskapsorienterat</t>
  </si>
  <si>
    <t>Det går att byta ut antaganden om nya rön kommer fram.</t>
  </si>
  <si>
    <t>Det går att genomföra beräkningar för olika vägtyper, flöden och hastighetsgränser.</t>
  </si>
  <si>
    <t>Bränsleförbrukning vid tät trafik</t>
  </si>
  <si>
    <t>normal vid tät trafik</t>
  </si>
  <si>
    <t>normal utan olycka</t>
  </si>
  <si>
    <t>kö vid olycka</t>
  </si>
  <si>
    <t>normal vid gles trafik</t>
  </si>
  <si>
    <t>tillämpning vid kövarning</t>
  </si>
  <si>
    <t>tillämpning vid tät trafik</t>
  </si>
  <si>
    <t>Delsumma, säkerhet</t>
  </si>
  <si>
    <t>Delsumma, framkomlighet</t>
  </si>
  <si>
    <t>sträcka</t>
  </si>
  <si>
    <t>Trafikarbete som berörs</t>
  </si>
  <si>
    <t>Indata</t>
  </si>
  <si>
    <t>Källa</t>
  </si>
  <si>
    <t>Kommentar/antagande</t>
  </si>
  <si>
    <t>värdering</t>
  </si>
  <si>
    <t>Effektsamband</t>
  </si>
  <si>
    <t>Restid normalt</t>
  </si>
  <si>
    <t>Minskad fördröjning tack vare VH/harmonisering</t>
  </si>
  <si>
    <t>ÅMD</t>
    <phoneticPr fontId="12" type="noConversion"/>
  </si>
  <si>
    <t>% av ÅMD</t>
    <phoneticPr fontId="12" type="noConversion"/>
  </si>
  <si>
    <t>Rapportbilaga</t>
  </si>
  <si>
    <r>
      <t xml:space="preserve">NNK beräknas enligt metod som beskrivs i ASEK6. Innebär bl.a. fixt startår. </t>
    </r>
    <r>
      <rPr>
        <sz val="12"/>
        <color indexed="10"/>
        <rFont val="Calibri (Brödtext)"/>
      </rPr>
      <t>Pelle tar fram rätt dokument.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</si>
  <si>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Källhänvisningar görs till sida i rapportbilaga. </t>
    </r>
    <r>
      <rPr>
        <sz val="12"/>
        <color indexed="10"/>
        <rFont val="Calibri (Brödtext)"/>
      </rPr>
      <t>Görs på slutet när beräkningsarket är klart.</t>
    </r>
  </si>
  <si>
    <t>Eget underlag</t>
  </si>
  <si>
    <t>Det går att byta ut antaganden om det finns egna mätningar eller nya rön.</t>
  </si>
  <si>
    <t xml:space="preserve">Säkerhetseffekter av trafikledning och ITS. Arbetsrapport 2. Skiss till säkerhetsmodell. </t>
  </si>
  <si>
    <t>Lind G. och Lindkvist A. (2012)</t>
  </si>
  <si>
    <t>ITS-implementering 2007-2012. Översiktlig bedömning av effekter.</t>
  </si>
  <si>
    <t>Traffic Management: Some History and future of ITS. ISEP 2008.</t>
  </si>
  <si>
    <t>Middelham F. (2008)</t>
  </si>
  <si>
    <t>Middelham (2008)</t>
  </si>
  <si>
    <t>Hastighet</t>
  </si>
  <si>
    <t>Resul. effekt</t>
  </si>
  <si>
    <t>Effekt vid 15% sekundärolyckor</t>
  </si>
  <si>
    <t>Varning för kö och annan fara (kövarning)</t>
  </si>
  <si>
    <t>Rel. effekt enligt potensregel upphöjd till tre</t>
  </si>
  <si>
    <t>Vägtyp</t>
  </si>
  <si>
    <t>typ-flöde fd/dygn</t>
  </si>
  <si>
    <t>Vmed barmark km/h</t>
  </si>
  <si>
    <t>Ok normal</t>
  </si>
  <si>
    <t>Halverar risk för sekundärolyckor vid h-gräns 120 km/h (Middelham, 2008)</t>
  </si>
  <si>
    <t>TRV/Movea (2011)</t>
  </si>
  <si>
    <t xml:space="preserve">Raub R.A. (1997) </t>
  </si>
  <si>
    <t>Secondary crashes: An important component of Roadway Incident management. Transportation Quarterly 51.3; 93-104</t>
  </si>
  <si>
    <t>ITS i kapacitetsutredningen. Behov, system och effekter. Underlagsrapport</t>
  </si>
  <si>
    <r>
      <t xml:space="preserve">CALMAR-beräkning för olyckor/haverier. </t>
    </r>
    <r>
      <rPr>
        <sz val="12"/>
        <color indexed="10"/>
        <rFont val="Calibri (Brödtext)"/>
      </rPr>
      <t>Pelle.</t>
    </r>
  </si>
  <si>
    <t>Klart?</t>
  </si>
  <si>
    <t>Komplettering med MCS/kövarning/rekommenderad hastighet på befintliga motorvägar</t>
  </si>
  <si>
    <t>Minskning av sekundärolyckor tack vare kövarning/rek.hastighet</t>
  </si>
  <si>
    <t xml:space="preserve">Investering </t>
  </si>
  <si>
    <t>Drift</t>
  </si>
  <si>
    <t>Datainsamling </t>
  </si>
  <si>
    <t>Webbkamera</t>
  </si>
  <si>
    <t>St</t>
  </si>
  <si>
    <t>Sensorer för restid</t>
  </si>
  <si>
    <t>Km</t>
  </si>
  <si>
    <t>Anläggning</t>
  </si>
  <si>
    <t>Information</t>
  </si>
  <si>
    <t>0,15 Mkr</t>
  </si>
  <si>
    <t>Andra dyn tavlor</t>
  </si>
  <si>
    <t>0,03 Mkr</t>
  </si>
  <si>
    <t>Dyn varningsmärke</t>
  </si>
  <si>
    <t>0,1 Mkr</t>
  </si>
  <si>
    <t>0,02 Mkr</t>
  </si>
  <si>
    <t>Mobil VMS</t>
  </si>
  <si>
    <t>Styrning</t>
  </si>
  <si>
    <t>Påfartsreglering</t>
  </si>
  <si>
    <t>km (dubbelrikt)</t>
  </si>
  <si>
    <t>1-3 Mkr</t>
  </si>
  <si>
    <t>Enkel kövarning</t>
  </si>
  <si>
    <t>0,4 Mkr</t>
  </si>
  <si>
    <t>Vägrensstyrning</t>
  </si>
  <si>
    <t>Middelham (2008) + potensmodell</t>
  </si>
  <si>
    <t xml:space="preserve">Zhou, M. and Sisiopiku, V.P. (1997) </t>
  </si>
  <si>
    <t>Relationship Between Volume-to-Capacity Ratios and Accident Rates. Transportation research record 1581, TRB, 1997.</t>
  </si>
  <si>
    <t>liter/mil pb</t>
  </si>
  <si>
    <t>liter/mil Lb</t>
  </si>
  <si>
    <t>% Lb</t>
  </si>
  <si>
    <t>Sid 21 Mess V0.3</t>
  </si>
  <si>
    <t>Där:</t>
  </si>
  <si>
    <r>
      <t>F</t>
    </r>
    <r>
      <rPr>
        <sz val="11"/>
        <rFont val="Palatino Linotype"/>
        <family val="1"/>
      </rPr>
      <t xml:space="preserve"> = Fördröjning (h)</t>
    </r>
  </si>
  <si>
    <t>Uppgifterna i tabellen ger en indikation om kostnadsnivåer. Faktiska investeringar i anläggningar varierar stort beroende på lokala förhållanden och andra förutsättningar.</t>
  </si>
  <si>
    <t>Intrimning av styralgoritm</t>
  </si>
  <si>
    <t>VH för homogenisering</t>
  </si>
  <si>
    <t>Investering</t>
  </si>
  <si>
    <t>Delsumma, kapitalkostnader</t>
  </si>
  <si>
    <t>Miljö</t>
  </si>
  <si>
    <t>Körförlopp</t>
  </si>
  <si>
    <t>Vf</t>
  </si>
  <si>
    <t>Delsumma, miljö</t>
  </si>
  <si>
    <t>Minskad bränsleförbrukning tack vare kövarning / rek.hastighet</t>
  </si>
  <si>
    <t>Minskad fördröjning tack vare kövarning /rek.hastighet</t>
  </si>
  <si>
    <t>Minskat koldioxidutsläpp</t>
  </si>
  <si>
    <t>Summa, nytta</t>
  </si>
  <si>
    <t>Summa, kostnad</t>
  </si>
  <si>
    <t>NNK</t>
  </si>
  <si>
    <t>Målsättning avseende metodik</t>
  </si>
  <si>
    <t>Transparens</t>
  </si>
  <si>
    <t>Flexibilitet</t>
  </si>
  <si>
    <t>Begriplighet</t>
  </si>
  <si>
    <t>Det går att följa med i beräkningarna.</t>
  </si>
  <si>
    <t>Behovsstyrt</t>
  </si>
  <si>
    <t>Behovet styr vilka tillämpningar som hanteras.</t>
  </si>
  <si>
    <t>Framkomlighet</t>
  </si>
  <si>
    <t>Delsumma, drift</t>
  </si>
  <si>
    <t>NNV</t>
  </si>
  <si>
    <t>NNK(idu)</t>
  </si>
  <si>
    <t>TS Död</t>
  </si>
  <si>
    <t>TS Svår skada</t>
  </si>
  <si>
    <t>Minskad bränsleförbrukning tack vare VH / harmonisering</t>
  </si>
  <si>
    <t>Lill Eva (ver. 2014)</t>
  </si>
  <si>
    <t>Olyckskvoter beräknade med LillEva version 2.7</t>
  </si>
  <si>
    <t>Rullister</t>
  </si>
  <si>
    <t>Automatik</t>
  </si>
  <si>
    <r>
      <t xml:space="preserve">Beräkningar görs för enbart specificerade indatakombinationer (Rullister). </t>
    </r>
    <r>
      <rPr>
        <sz val="12"/>
        <color indexed="10"/>
        <rFont val="Calibri (Brödtext)"/>
      </rPr>
      <t>Görs senare av Pelle.</t>
    </r>
  </si>
  <si>
    <r>
      <t>V1</t>
    </r>
    <r>
      <rPr>
        <sz val="11"/>
        <rFont val="Palatino Linotype"/>
        <family val="1"/>
      </rPr>
      <t xml:space="preserve"> = Varaktighet (h)</t>
    </r>
  </si>
  <si>
    <r>
      <t>V2</t>
    </r>
    <r>
      <rPr>
        <sz val="11"/>
        <rFont val="Palatino Linotype"/>
        <family val="1"/>
      </rPr>
      <t xml:space="preserve"> = Varaktighet (h)</t>
    </r>
  </si>
  <si>
    <r>
      <t>V3</t>
    </r>
    <r>
      <rPr>
        <sz val="11"/>
        <rFont val="Palatino Linotype"/>
        <family val="1"/>
      </rPr>
      <t xml:space="preserve"> = Varaktighet (h)</t>
    </r>
  </si>
  <si>
    <r>
      <t>V4</t>
    </r>
    <r>
      <rPr>
        <sz val="11"/>
        <rFont val="Palatino Linotype"/>
        <family val="1"/>
      </rPr>
      <t xml:space="preserve"> = Varaktighet (h)</t>
    </r>
  </si>
  <si>
    <r>
      <t>F5</t>
    </r>
    <r>
      <rPr>
        <sz val="11"/>
        <rFont val="Palatino Linotype"/>
        <family val="1"/>
      </rPr>
      <t xml:space="preserve"> = Fördröjning (h)</t>
    </r>
  </si>
  <si>
    <r>
      <t>BG5</t>
    </r>
    <r>
      <rPr>
        <sz val="11"/>
        <rFont val="Palatino Linotype"/>
        <family val="1"/>
      </rPr>
      <t xml:space="preserve"> = Belastningsgrad</t>
    </r>
  </si>
  <si>
    <r>
      <t>V5</t>
    </r>
    <r>
      <rPr>
        <sz val="11"/>
        <rFont val="Palatino Linotype"/>
        <family val="1"/>
      </rPr>
      <t xml:space="preserve"> = Varaktighet (h)</t>
    </r>
  </si>
  <si>
    <r>
      <t xml:space="preserve">F </t>
    </r>
    <r>
      <rPr>
        <sz val="11"/>
        <rFont val="Palatino Linotype"/>
        <family val="1"/>
      </rPr>
      <t>= Fördröjning (h)</t>
    </r>
  </si>
  <si>
    <t>medelhastighet</t>
  </si>
  <si>
    <t>hastighetsgräns</t>
  </si>
  <si>
    <t>TS Lindrig skada</t>
  </si>
  <si>
    <t>olyckor/år</t>
  </si>
  <si>
    <t>Olyckskostnad</t>
  </si>
  <si>
    <t>Död</t>
  </si>
  <si>
    <t xml:space="preserve">Beräkningar görs med automatik för specificerade kombinationer. </t>
  </si>
  <si>
    <t>jfr Rapport-bilaga sid</t>
  </si>
  <si>
    <t>Checklista för förbättring</t>
  </si>
  <si>
    <t>Sekundärolyckor</t>
  </si>
  <si>
    <t>Förklara innebörd.</t>
  </si>
  <si>
    <t>MV 4kf</t>
  </si>
  <si>
    <t>MV 6kf</t>
  </si>
  <si>
    <t>MV 8kf</t>
  </si>
  <si>
    <t>Föreskriven högsta hastighet</t>
  </si>
  <si>
    <t>Olyckskvot</t>
  </si>
  <si>
    <r>
      <t xml:space="preserve">Ta fram nya normalolyckskvoter. </t>
    </r>
    <r>
      <rPr>
        <sz val="12"/>
        <color indexed="10"/>
        <rFont val="Calibri (Brödtext)"/>
      </rPr>
      <t>Pelle.</t>
    </r>
  </si>
  <si>
    <t>ÅMD</t>
  </si>
  <si>
    <t>justerbara celler (indata)</t>
  </si>
  <si>
    <t>Olycksmakro</t>
  </si>
  <si>
    <r>
      <t xml:space="preserve">Makro som hämtar rätt olycksvärde. </t>
    </r>
    <r>
      <rPr>
        <sz val="12"/>
        <color indexed="10"/>
        <rFont val="Calibri (Brödtext)"/>
      </rPr>
      <t>Pelle.</t>
    </r>
  </si>
  <si>
    <t>Förklaring</t>
  </si>
  <si>
    <t>Normalvärden för olika vägtyper</t>
  </si>
  <si>
    <t>Fördröjning</t>
  </si>
  <si>
    <r>
      <t xml:space="preserve">Vilket underlag är bäst? </t>
    </r>
    <r>
      <rPr>
        <sz val="12"/>
        <color indexed="10"/>
        <rFont val="Calibri (Brödtext)"/>
      </rPr>
      <t>Pelle.</t>
    </r>
  </si>
  <si>
    <t>ATK (punkt, 1 plats)</t>
  </si>
  <si>
    <t>ATK (genomsnitt, 2 platser)</t>
  </si>
  <si>
    <t>0,2 Mkr</t>
  </si>
  <si>
    <t>VMS (Trafikinfotavla, DRIP)</t>
  </si>
  <si>
    <t>TILLÄGGSUTRUSTNING</t>
  </si>
  <si>
    <t>Övervakning/kontroll</t>
  </si>
  <si>
    <r>
      <rPr>
        <b/>
        <sz val="11"/>
        <color indexed="8"/>
        <rFont val="Calibri"/>
        <family val="2"/>
      </rPr>
      <t>MCS-anläggning</t>
    </r>
    <r>
      <rPr>
        <sz val="11"/>
        <color indexed="8"/>
        <rFont val="Calibri"/>
        <family val="2"/>
      </rPr>
      <t>, yta (infart, 70-80 km/h, 300 m mellan portaler)</t>
    </r>
  </si>
  <si>
    <t>Drift per år</t>
  </si>
  <si>
    <t>MCS, kommunikation</t>
  </si>
  <si>
    <t>reglerad sträcka</t>
  </si>
  <si>
    <t>(inkl. kommunikation)</t>
  </si>
  <si>
    <t>20 år</t>
  </si>
  <si>
    <t>Komplettering med MCS/kövarning</t>
  </si>
  <si>
    <t>5% av trafikarbete berörs av olyckor och efterföljande köer</t>
  </si>
  <si>
    <t>hämtas från flik "Miljö"</t>
  </si>
  <si>
    <t>värden för olika vägtyper enligt flik "Normalvärden"</t>
  </si>
  <si>
    <t>värden för olika fordonshastigheter enligt flik "Miljö"</t>
  </si>
  <si>
    <t>Uppgradering av MCS med VH/harmonisering på befintliga motorvägar</t>
  </si>
  <si>
    <t>Bränsleförbrukning pga sekundärolyckor</t>
  </si>
  <si>
    <t>bränsleförbrukning är 50-80% lägre om inte köer uppstår</t>
  </si>
  <si>
    <t>år</t>
  </si>
  <si>
    <t>Index</t>
  </si>
  <si>
    <t>För lastbilar går utvecklingen lite långsammare.</t>
  </si>
  <si>
    <t>Lastbilar</t>
  </si>
  <si>
    <t>ÅDT</t>
  </si>
  <si>
    <t>[f/d]</t>
  </si>
  <si>
    <t>2014-2040 årlig %</t>
  </si>
  <si>
    <t>pb+Lb</t>
  </si>
  <si>
    <t>Beräknade, men ändringsbara!</t>
  </si>
  <si>
    <t>och hastighetsgräns.</t>
  </si>
  <si>
    <r>
      <t>BG</t>
    </r>
    <r>
      <rPr>
        <sz val="11"/>
        <rFont val="Palatino Linotype"/>
        <family val="1"/>
      </rPr>
      <t xml:space="preserve"> = Belastningsgrad</t>
    </r>
  </si>
  <si>
    <r>
      <t>Q</t>
    </r>
    <r>
      <rPr>
        <sz val="11"/>
        <rFont val="Palatino Linotype"/>
        <family val="1"/>
      </rPr>
      <t xml:space="preserve"> = Flöde (f/h)</t>
    </r>
  </si>
  <si>
    <r>
      <t>V</t>
    </r>
    <r>
      <rPr>
        <sz val="11"/>
        <rFont val="Palatino Linotype"/>
        <family val="1"/>
      </rPr>
      <t xml:space="preserve"> = Varaktighet (h)</t>
    </r>
  </si>
  <si>
    <t>Livslängd</t>
  </si>
  <si>
    <t>Egna värden</t>
  </si>
  <si>
    <t>NYTTA</t>
    <phoneticPr fontId="11" type="noConversion"/>
  </si>
  <si>
    <t>KOSTNAD</t>
    <phoneticPr fontId="11" type="noConversion"/>
  </si>
  <si>
    <t>Kalkylränta</t>
  </si>
  <si>
    <t>Kalkylperiod</t>
  </si>
  <si>
    <t>40 år</t>
  </si>
  <si>
    <t>Nusummefaktor, 40 år</t>
  </si>
  <si>
    <t>Pris/värde-uppräkning per år</t>
  </si>
  <si>
    <t>Säkerhet</t>
  </si>
  <si>
    <t>Lastbilsandel</t>
  </si>
  <si>
    <t>Lb</t>
  </si>
  <si>
    <t>MCS-sträckans längd</t>
  </si>
  <si>
    <t>L</t>
  </si>
  <si>
    <t>[km]</t>
  </si>
  <si>
    <r>
      <t>O</t>
    </r>
    <r>
      <rPr>
        <vertAlign val="subscript"/>
        <sz val="10"/>
        <rFont val="Arial"/>
        <family val="2"/>
      </rPr>
      <t>antal</t>
    </r>
  </si>
  <si>
    <t>[st]</t>
  </si>
  <si>
    <t>Medelhastighet</t>
  </si>
  <si>
    <r>
      <t>V</t>
    </r>
    <r>
      <rPr>
        <vertAlign val="subscript"/>
        <sz val="10"/>
        <rFont val="Arial"/>
        <family val="2"/>
      </rPr>
      <t>medel</t>
    </r>
  </si>
  <si>
    <t>[km/h]</t>
  </si>
  <si>
    <t>[Antal/mån]</t>
  </si>
  <si>
    <r>
      <t>f</t>
    </r>
    <r>
      <rPr>
        <vertAlign val="subscript"/>
        <sz val="10"/>
        <rFont val="Arial"/>
        <family val="2"/>
      </rPr>
      <t>antalkö</t>
    </r>
  </si>
  <si>
    <t>Frekvens för sekundärolyckor för MCS kövarning per månad</t>
  </si>
  <si>
    <r>
      <t>f</t>
    </r>
    <r>
      <rPr>
        <vertAlign val="subscript"/>
        <sz val="10"/>
        <rFont val="Arial"/>
        <family val="2"/>
      </rPr>
      <t>antalVH</t>
    </r>
  </si>
  <si>
    <t>Generell indata</t>
  </si>
  <si>
    <t>Indata för MCS kövarning</t>
  </si>
  <si>
    <t>Indata för MCS VH</t>
  </si>
  <si>
    <r>
      <t>K</t>
    </r>
    <r>
      <rPr>
        <vertAlign val="subscript"/>
        <sz val="10"/>
        <rFont val="Arial"/>
        <family val="2"/>
      </rPr>
      <t>invest</t>
    </r>
  </si>
  <si>
    <t>[Mkr]</t>
  </si>
  <si>
    <t>Frekvens (tillfällen/månad)</t>
  </si>
  <si>
    <r>
      <t>F1</t>
    </r>
    <r>
      <rPr>
        <sz val="11"/>
        <rFont val="Palatino Linotype"/>
        <family val="1"/>
      </rPr>
      <t xml:space="preserve"> = Fördröjning (h)</t>
    </r>
  </si>
  <si>
    <r>
      <t>F2</t>
    </r>
    <r>
      <rPr>
        <sz val="11"/>
        <rFont val="Palatino Linotype"/>
        <family val="1"/>
      </rPr>
      <t xml:space="preserve"> = Fördröjning (h)</t>
    </r>
  </si>
  <si>
    <r>
      <t>F3</t>
    </r>
    <r>
      <rPr>
        <sz val="11"/>
        <rFont val="Palatino Linotype"/>
        <family val="1"/>
      </rPr>
      <t xml:space="preserve"> = Fördröjning (h)</t>
    </r>
  </si>
  <si>
    <r>
      <t>F4</t>
    </r>
    <r>
      <rPr>
        <sz val="11"/>
        <rFont val="Palatino Linotype"/>
        <family val="1"/>
      </rPr>
      <t xml:space="preserve"> = Fördröjning (h)</t>
    </r>
  </si>
  <si>
    <r>
      <t>BG1</t>
    </r>
    <r>
      <rPr>
        <sz val="11"/>
        <rFont val="Palatino Linotype"/>
        <family val="1"/>
      </rPr>
      <t xml:space="preserve"> = Belastningsgrad</t>
    </r>
  </si>
  <si>
    <r>
      <t>BG2</t>
    </r>
    <r>
      <rPr>
        <sz val="11"/>
        <rFont val="Palatino Linotype"/>
        <family val="1"/>
      </rPr>
      <t xml:space="preserve"> = Belastningsgrad</t>
    </r>
  </si>
  <si>
    <r>
      <t>BG3</t>
    </r>
    <r>
      <rPr>
        <sz val="11"/>
        <rFont val="Palatino Linotype"/>
        <family val="1"/>
      </rPr>
      <t xml:space="preserve"> = Belastningsgrad</t>
    </r>
  </si>
  <si>
    <r>
      <t>BG4</t>
    </r>
    <r>
      <rPr>
        <sz val="11"/>
        <rFont val="Palatino Linotype"/>
        <family val="1"/>
      </rPr>
      <t xml:space="preserve"> = Belastningsgrad</t>
    </r>
  </si>
  <si>
    <t>Föremål och övrigt</t>
  </si>
  <si>
    <t>(djur, tappad last, bildelar etc.</t>
  </si>
  <si>
    <t>Nedfallna portaler m fl farliga föremål kan förekomma med mkt värre konsekvenser)</t>
  </si>
  <si>
    <t>1 körfält, 15 min</t>
  </si>
  <si>
    <t>Fördelning enligt äldre studie från 1978</t>
  </si>
  <si>
    <t>Allvarliga incidenter</t>
  </si>
  <si>
    <t>kategori v1-v3</t>
  </si>
  <si>
    <t>statliga vägnätet</t>
  </si>
  <si>
    <t>Aktuellt objekt</t>
  </si>
  <si>
    <t>Frekvens incidenter</t>
  </si>
  <si>
    <t>per månad</t>
  </si>
  <si>
    <t>Komplettering MCS_kö</t>
  </si>
  <si>
    <t>Uppgradering MCS_VH</t>
  </si>
  <si>
    <t>Skattad andel av faktisk frekvens</t>
  </si>
  <si>
    <t>Olycka, mycket stor påverkan</t>
  </si>
  <si>
    <t>Olycka, stor, bör vara mkt stor</t>
  </si>
  <si>
    <t>Olycka, stor påverkan</t>
  </si>
  <si>
    <t>Övr olycka (liten/ingen påverkan)</t>
  </si>
  <si>
    <t>Vägarbete mkt trafikstörande</t>
  </si>
  <si>
    <t>Övr vägarbete, inkl fel skyltn.</t>
  </si>
  <si>
    <t>Djur på vägen</t>
  </si>
  <si>
    <t>Fordonshaveri</t>
  </si>
  <si>
    <t>Föremål på väg (träd, last mm)</t>
  </si>
  <si>
    <t>Tillfälliga begränsningar</t>
  </si>
  <si>
    <t>Bärgning</t>
  </si>
  <si>
    <t>Vägskada, fel på trafikanordn</t>
  </si>
  <si>
    <t>Kö/stillastående trafik</t>
  </si>
  <si>
    <t>Brand</t>
  </si>
  <si>
    <t>MCS-anläggning, investering</t>
  </si>
  <si>
    <t>Kommunikationsutrustning, investering</t>
  </si>
  <si>
    <t>Schablon från flik "Investering &amp; drift" eller egen utredning</t>
  </si>
  <si>
    <t>per år</t>
  </si>
  <si>
    <t>SAMHÄLLSEKONOMISK KALKYL  -  Komplettering med MCS/kövarning/rekommenderad hastighet på befintliga motorvägar</t>
  </si>
  <si>
    <t>40 år TRAFIK</t>
  </si>
  <si>
    <t>40 år DRIFT</t>
  </si>
  <si>
    <t>reinvestering efter 20 år</t>
  </si>
  <si>
    <t>SAMHÄLLSEKONOMISK KALKYL  -  Uppgradering av MCS med VH/harmonisering på befintliga motorvägar</t>
  </si>
  <si>
    <t xml:space="preserve">SAMHÄLLSEKONOMISK KALKYL  -  MCS/kövarning inkl harmonisering </t>
  </si>
  <si>
    <t>Mkr per år</t>
  </si>
  <si>
    <t>Ja</t>
  </si>
  <si>
    <t>[%]</t>
  </si>
  <si>
    <t>Hastighetsgräns</t>
  </si>
  <si>
    <r>
      <t>V</t>
    </r>
    <r>
      <rPr>
        <vertAlign val="subscript"/>
        <sz val="10"/>
        <rFont val="Arial"/>
        <family val="2"/>
      </rPr>
      <t>1</t>
    </r>
  </si>
  <si>
    <t>[km/t]</t>
  </si>
  <si>
    <t>Primärvägens hastighetsgräns</t>
  </si>
  <si>
    <t>För att ta hänsyn till framtida fordonsutveckling får man utgå från modellår 2008 (enligt tabell MA032 i KAN) och använda följande utvecklingsindex</t>
  </si>
  <si>
    <t>Personbilar</t>
  </si>
  <si>
    <t>Län (område)</t>
  </si>
  <si>
    <t>pb</t>
  </si>
  <si>
    <t>Hämtas från flik "Sekundärolyckor" eller egen utredning</t>
  </si>
  <si>
    <t>Alla allvarliga incidenter antas minska i samma omfattning som sekundärolyckor</t>
  </si>
  <si>
    <t>Bör uppdateras vid framtida ASEK-revideringar</t>
  </si>
  <si>
    <t>Tidsvärdering</t>
    <phoneticPr fontId="66" type="noConversion"/>
  </si>
  <si>
    <r>
      <t xml:space="preserve">Visa beräkning från ASEK6-värden </t>
    </r>
    <r>
      <rPr>
        <sz val="12"/>
        <color indexed="10"/>
        <rFont val="Calibri"/>
        <family val="2"/>
      </rPr>
      <t>Esbjörn</t>
    </r>
    <phoneticPr fontId="66" type="noConversion"/>
  </si>
  <si>
    <t>Vilkorsstyrd färg</t>
  </si>
  <si>
    <t>Manuellt ändrad cell!</t>
  </si>
  <si>
    <t>Antal olyckor per år</t>
  </si>
  <si>
    <t>Maxvärde för respektive MV-typ</t>
  </si>
  <si>
    <t>Trafikflöde (ÅDT dubbelriktat)</t>
  </si>
  <si>
    <t>Skattefaktor</t>
  </si>
  <si>
    <t>CO2 (kr/kg)</t>
  </si>
  <si>
    <t>Trängseltidsfaktor</t>
  </si>
  <si>
    <t>Förseningstidsfaktor</t>
  </si>
  <si>
    <t>MCS-anläggningens driftkostnad per år</t>
  </si>
  <si>
    <t>[Mkr/år]</t>
  </si>
  <si>
    <r>
      <t>K</t>
    </r>
    <r>
      <rPr>
        <vertAlign val="subscript"/>
        <sz val="10"/>
        <rFont val="Arial"/>
        <family val="2"/>
      </rPr>
      <t>drift</t>
    </r>
  </si>
  <si>
    <t>Kostnad/år</t>
  </si>
  <si>
    <t>Delsumma, trafiksäkerhet</t>
  </si>
  <si>
    <t>Nytta</t>
  </si>
  <si>
    <t>Kostnad</t>
  </si>
  <si>
    <t>Vägtyp är motorväg med 4, 6 eller 8 kf dubbelriktat.</t>
  </si>
  <si>
    <t>vid barmarksförhållanden.</t>
  </si>
  <si>
    <t>Resultat, går ej att ändra!</t>
  </si>
  <si>
    <t>Händelsetyp</t>
  </si>
  <si>
    <t>Bortfall av kapacitet (yta och tid)</t>
  </si>
  <si>
    <t>Förekomst per månad</t>
  </si>
  <si>
    <t>Högtrafik</t>
  </si>
  <si>
    <t>Lågtrafik</t>
  </si>
  <si>
    <t>Större olycka (flera bilar och personskada, brand, inblandning av lb etc)</t>
  </si>
  <si>
    <t>3 körfält (alla), 1 tim (under räddningsarbete/ bärgning)</t>
  </si>
  <si>
    <t>2 kf, 2 tim</t>
  </si>
  <si>
    <t>Olycka</t>
  </si>
  <si>
    <t>(2 bilar, singelolycka, ej flyttbar)</t>
  </si>
  <si>
    <t>1 körfält, 1 tim</t>
  </si>
  <si>
    <t>2 körfält, 30 min (under räddningsarbete/ bärgning)</t>
  </si>
  <si>
    <t>Mindre olycka</t>
  </si>
  <si>
    <t>(flyttbara till vägren/avfart))</t>
  </si>
  <si>
    <t>1 körfält, 5 min</t>
  </si>
  <si>
    <t>Svårt haveri</t>
  </si>
  <si>
    <t>(låsta bromsar, elbortfall, svår punktering, ej flyttbara för egen maskin)</t>
  </si>
  <si>
    <t>1 körfält, 2 tim (lb), 1 tim (pb)</t>
  </si>
  <si>
    <t>Enkelt haveri</t>
  </si>
  <si>
    <t>(bensinstopp, kokande kylare, flyttbar till vägren/avfart)</t>
  </si>
  <si>
    <t>Vägren, avfart eller nödficka. 1,5 tim. (½ höger körfält kan blockeras särskilt av lastbil som sticker ut från vägren. Då vägren saknas blockeras höger körfält)</t>
  </si>
  <si>
    <t>Kolla refrerensfel på rad 38 och 48 i MCS indata</t>
  </si>
  <si>
    <t>Ge möjlighet att ha egna data för andel tät trafik. VH cell E7</t>
  </si>
  <si>
    <t>Vi behöver ett medelvärde för tidsvärdering. Fråga Carsten om medelvärde</t>
  </si>
  <si>
    <t>Referensen (rad i tabell Normalvärden) ska vara beroende av antal körfält och hastighetsgräns</t>
  </si>
  <si>
    <t>Kommer modellen för fördröjning vid tät trafik från CALMAR?</t>
  </si>
  <si>
    <t>Kommer modellen för fördröjning vid incidenter från CALMAR?</t>
  </si>
  <si>
    <t>Trafikarbete Mfkm</t>
  </si>
  <si>
    <t>Antal körfält:</t>
  </si>
  <si>
    <t>Extra restid pga allvarliga incidenter</t>
  </si>
  <si>
    <t>Fördröjning minskar 1,5-7,5% tack vare färre incidenter och lugnare inbromsningar</t>
  </si>
  <si>
    <t>Evenemang, kortege</t>
  </si>
  <si>
    <t>Status händelse, konsekvenser mm</t>
  </si>
  <si>
    <t>Väder, väglag</t>
  </si>
  <si>
    <t>Övrigt blandat</t>
  </si>
  <si>
    <t>Summa</t>
  </si>
  <si>
    <t>v1</t>
  </si>
  <si>
    <t>v2</t>
  </si>
  <si>
    <t>v3</t>
  </si>
  <si>
    <t>v5</t>
  </si>
  <si>
    <t>v4</t>
  </si>
  <si>
    <t>v2,v3</t>
  </si>
  <si>
    <t>TS Ant olyckor (per MAPKM)</t>
  </si>
  <si>
    <r>
      <t xml:space="preserve">Rapportbilagan ska läsas av </t>
    </r>
    <r>
      <rPr>
        <sz val="12"/>
        <color rgb="FFFF0000"/>
        <rFont val="Calibri"/>
        <family val="2"/>
        <scheme val="minor"/>
      </rPr>
      <t>Pelle</t>
    </r>
  </si>
  <si>
    <t>Grunddata nedan kommer från en utredning av Staffan Algers genom Esbjörn.</t>
  </si>
  <si>
    <t>kö vid tät trafik</t>
  </si>
  <si>
    <t>PERSONBIL</t>
  </si>
  <si>
    <t>Alla vägar</t>
  </si>
  <si>
    <t xml:space="preserve">Stockholm </t>
  </si>
  <si>
    <t xml:space="preserve">Uppsala </t>
  </si>
  <si>
    <t>Södermanland</t>
  </si>
  <si>
    <t xml:space="preserve">Östergötland </t>
  </si>
  <si>
    <t xml:space="preserve">Jönköping </t>
  </si>
  <si>
    <t xml:space="preserve">Kronoberg </t>
  </si>
  <si>
    <t>Kalmar</t>
  </si>
  <si>
    <t xml:space="preserve">Gotland </t>
  </si>
  <si>
    <t>Blekinge</t>
  </si>
  <si>
    <t>Skåne</t>
  </si>
  <si>
    <t xml:space="preserve">Stor-Göteborg </t>
  </si>
  <si>
    <t xml:space="preserve">Södra VVÄ </t>
  </si>
  <si>
    <t>Östra VVÄ</t>
  </si>
  <si>
    <t xml:space="preserve">Västra och Norra VVÄ </t>
  </si>
  <si>
    <t xml:space="preserve">Längs E18 VVÄ </t>
  </si>
  <si>
    <t>Örebro</t>
  </si>
  <si>
    <t xml:space="preserve">Västmanland </t>
  </si>
  <si>
    <t xml:space="preserve">Dalarna </t>
  </si>
  <si>
    <t>Gävleborg</t>
  </si>
  <si>
    <t>Västernorrlands läns kustkommuner exkl. Kramfors</t>
  </si>
  <si>
    <t>Västernorrlands läns inlandskommuner inkl. Kramfors</t>
  </si>
  <si>
    <t>Jämtland</t>
  </si>
  <si>
    <t xml:space="preserve">Västerbottens kust och inland </t>
  </si>
  <si>
    <t xml:space="preserve">Västerbottens fjäll och inland </t>
  </si>
  <si>
    <t xml:space="preserve">Norrbottens kust och inland </t>
  </si>
  <si>
    <t>Norrbottens fjäll och inland</t>
  </si>
  <si>
    <t>Riket</t>
  </si>
  <si>
    <t>Område</t>
  </si>
  <si>
    <t>LASTBIL</t>
  </si>
  <si>
    <t>Län (område enligt ASEK)</t>
  </si>
  <si>
    <t>80 km/h</t>
  </si>
  <si>
    <t>MV 4f</t>
  </si>
  <si>
    <t>MV 6f</t>
  </si>
  <si>
    <t>MV 8f</t>
  </si>
  <si>
    <t>-1,0</t>
  </si>
  <si>
    <t>+1,1</t>
  </si>
  <si>
    <t>+0,6</t>
  </si>
  <si>
    <t>+2,2</t>
  </si>
  <si>
    <t>+0,0</t>
  </si>
  <si>
    <t>+0,8</t>
  </si>
  <si>
    <t>+2,0</t>
  </si>
  <si>
    <t>+3,6</t>
  </si>
  <si>
    <t>MCS kövarning och harmonisering</t>
  </si>
  <si>
    <t>100 km/h</t>
  </si>
  <si>
    <t>-0,9</t>
  </si>
  <si>
    <t>-0,6</t>
  </si>
  <si>
    <t>+0,3</t>
  </si>
  <si>
    <t>+5,3</t>
  </si>
  <si>
    <t>+0,4</t>
  </si>
  <si>
    <t>+2,7</t>
  </si>
  <si>
    <t>+7,3</t>
  </si>
  <si>
    <t>-0,8</t>
  </si>
  <si>
    <t>-0,2</t>
  </si>
  <si>
    <t>+1,0</t>
  </si>
  <si>
    <t>+8,7</t>
  </si>
  <si>
    <t>+5,0</t>
  </si>
  <si>
    <t>+2,4</t>
  </si>
  <si>
    <r>
      <t xml:space="preserve">Skriv till Carsten om tidvärde. </t>
    </r>
    <r>
      <rPr>
        <sz val="12"/>
        <color indexed="10"/>
        <rFont val="Calibri (Brödtext)"/>
      </rPr>
      <t>Gunnar</t>
    </r>
  </si>
  <si>
    <r>
      <t xml:space="preserve">Skriv till Carsten om kostnader. </t>
    </r>
    <r>
      <rPr>
        <sz val="12"/>
        <color indexed="10"/>
        <rFont val="Calibri (Brödtext)"/>
      </rPr>
      <t>Gunnar</t>
    </r>
  </si>
  <si>
    <r>
      <t xml:space="preserve">Kolla Tät trafik F53. Har det blivit rätt? Förklara! </t>
    </r>
    <r>
      <rPr>
        <sz val="12"/>
        <color indexed="10"/>
        <rFont val="Calibri (Brödtext)"/>
      </rPr>
      <t>Pelle</t>
    </r>
  </si>
  <si>
    <t>Reduktion fördröjning utifrån hastighetsgräns</t>
  </si>
  <si>
    <t>V</t>
  </si>
  <si>
    <t>Reduktion fördröjning</t>
  </si>
  <si>
    <t>Reduktion kökörning</t>
  </si>
  <si>
    <t>Kommunikationssystem</t>
  </si>
  <si>
    <r>
      <t xml:space="preserve">Kolla rad 36 och 39 (investering) i MCS indata </t>
    </r>
    <r>
      <rPr>
        <sz val="12"/>
        <color indexed="10"/>
        <rFont val="Calibri (Brödtext)"/>
      </rPr>
      <t>Pelle</t>
    </r>
  </si>
  <si>
    <t>andel sekundärolyckor</t>
  </si>
  <si>
    <t>Raub (1997) + Lind G. och Strömgren P. (2011)</t>
  </si>
  <si>
    <t>Hämtas från flik "Normalvärden" eller egen utredning</t>
  </si>
  <si>
    <t>Konsekvens av sekundärolyckor uppskattas minska med 10-50% tack vare MCS/kövarning (beror av hastighet)</t>
  </si>
  <si>
    <t>minskad skadeföljd pga varning</t>
  </si>
  <si>
    <t>Antal objekt i Triss per år</t>
  </si>
  <si>
    <t>Gissning antal händelser från andra källor</t>
  </si>
  <si>
    <t>Kategori</t>
  </si>
  <si>
    <t>Andel</t>
  </si>
  <si>
    <t>E4/E20 Södertäljevägen. Effekter av trafikledning, vägrensutnyttjande och nödfickor.</t>
  </si>
  <si>
    <t xml:space="preserve">Movea (2015) </t>
  </si>
  <si>
    <t xml:space="preserve">Movea (2011) </t>
  </si>
  <si>
    <t>Smart navigering. Vilken nytta gör trafikinformation i bilen? Gunnar Lind och Anders Lindkvist.</t>
  </si>
  <si>
    <t>Kartläggning av förekomst av händelser på statliga vägnätet (Movea, 2011)</t>
  </si>
  <si>
    <t>Frekvens (incidenter/månad)</t>
  </si>
  <si>
    <t>Frågor 170104</t>
  </si>
  <si>
    <t>Kolla rad 36 och 39 (investering) i MCS indata</t>
  </si>
  <si>
    <t>Konstbyggnad</t>
  </si>
  <si>
    <t>Vanlig väg</t>
  </si>
  <si>
    <t>Bro</t>
  </si>
  <si>
    <t>Tunnel</t>
  </si>
  <si>
    <t>Tre typer finns, vanlig väg, bro och tunnel.</t>
  </si>
  <si>
    <t>GRUNDUTRUSTNING, MCS, vanlig väg</t>
  </si>
  <si>
    <t>GRUNDUTRUSTNING, MCS, Bro</t>
  </si>
  <si>
    <t>GRUNDUTRUSTNING, MCS, Tunnel</t>
  </si>
  <si>
    <r>
      <rPr>
        <b/>
        <sz val="11"/>
        <color indexed="8"/>
        <rFont val="Calibri"/>
        <family val="2"/>
      </rPr>
      <t>MCS-anläggning</t>
    </r>
    <r>
      <rPr>
        <sz val="11"/>
        <color indexed="8"/>
        <rFont val="Calibri"/>
        <family val="2"/>
      </rPr>
      <t>, bro (infart, 70-80 km/h, 300 m mellan portaler)</t>
    </r>
  </si>
  <si>
    <t>Antal kf</t>
  </si>
  <si>
    <r>
      <rPr>
        <b/>
        <sz val="11"/>
        <color indexed="8"/>
        <rFont val="Calibri"/>
        <family val="2"/>
      </rPr>
      <t>MCS-anläggning</t>
    </r>
    <r>
      <rPr>
        <sz val="11"/>
        <color indexed="8"/>
        <rFont val="Calibri"/>
        <family val="2"/>
      </rPr>
      <t>, tunnel (infart, 70-80 km/h, 300 m mellan portaler)</t>
    </r>
  </si>
  <si>
    <t>+250%</t>
  </si>
  <si>
    <t>-0,3</t>
  </si>
  <si>
    <t>LS</t>
  </si>
  <si>
    <t>EO</t>
  </si>
  <si>
    <t>Mörkertal korrektion</t>
  </si>
  <si>
    <t>v 0.58</t>
  </si>
  <si>
    <t>Modell för beräkning av fördröjning pga tät trafik från CALMAR</t>
  </si>
  <si>
    <t>Modell för beräkning av fördröjning pga incidenter från CALMAR</t>
  </si>
  <si>
    <t>Andel tät trafik</t>
  </si>
  <si>
    <r>
      <t>A</t>
    </r>
    <r>
      <rPr>
        <vertAlign val="subscript"/>
        <sz val="10"/>
        <rFont val="Arial"/>
        <family val="2"/>
      </rPr>
      <t>tät</t>
    </r>
  </si>
  <si>
    <t>Faktor</t>
  </si>
  <si>
    <t xml:space="preserve">Värde </t>
  </si>
  <si>
    <t>Kommentar</t>
  </si>
  <si>
    <t>Nytta/år</t>
  </si>
  <si>
    <t>Frekvens överbelastningar med sammanbrott</t>
  </si>
  <si>
    <t>vardagar</t>
  </si>
  <si>
    <t>helger</t>
  </si>
  <si>
    <t>maxbelastning</t>
  </si>
  <si>
    <t>frekvens överbel</t>
  </si>
  <si>
    <t>Frågor 170110</t>
  </si>
  <si>
    <t>Hämtas från flik "Normalvärden" eller egna mätningar</t>
  </si>
  <si>
    <t>Hämtas från flik "Tät trafik" eller egen utredning</t>
  </si>
  <si>
    <t>Bygger på CALMAR och empiriska incidentdata</t>
  </si>
  <si>
    <t>Bygger på CALMAR och empiriska belastningsvariationer</t>
  </si>
  <si>
    <t>Extra restid vid överbelastningar</t>
  </si>
  <si>
    <t>Kolla extra restid vid köv (B12) resp VH (B13). Om detta ska multipliceras med frekvens blir det orimligt!</t>
  </si>
  <si>
    <t xml:space="preserve">Minskad fördröjning uppskattas till 1-15% med VH/harmonisering beroende på hastighetsgräns </t>
  </si>
  <si>
    <t>Movea (2015)</t>
  </si>
  <si>
    <t>Köer undviks under 5-30% av tiden tack vare VH/harmonisering</t>
  </si>
  <si>
    <t>Kompletterande kostnadsuppskattningar från Kapacitetsutredningen (används ej)</t>
  </si>
  <si>
    <t>MCS tunnel inkl kommunikation</t>
  </si>
  <si>
    <t xml:space="preserve">Uppräkning </t>
  </si>
  <si>
    <t>tunnel</t>
  </si>
  <si>
    <t>bro</t>
  </si>
  <si>
    <t>+100%</t>
  </si>
  <si>
    <t>Uppräkning</t>
  </si>
  <si>
    <t>8kf</t>
  </si>
  <si>
    <t>+25%</t>
  </si>
  <si>
    <t>Nedräkning</t>
  </si>
  <si>
    <t>4kf</t>
  </si>
  <si>
    <t>-25%</t>
  </si>
  <si>
    <t>Uppskattningar främst från kapacitetsutredningen (2012) och VH Södertäljevägen (2015)</t>
  </si>
  <si>
    <t>endast infrastruktur &amp; drift</t>
  </si>
  <si>
    <t>både infra, kommunikation &amp; drift</t>
  </si>
  <si>
    <t>Testresultat 2017-01-06</t>
  </si>
  <si>
    <t>8% Lb</t>
  </si>
  <si>
    <t>Mkr faktiskt</t>
  </si>
  <si>
    <t>Frågor 170118</t>
  </si>
  <si>
    <t>Minskning av olyckor gäller personskadeolyckor med högre olycksvärdering.</t>
  </si>
  <si>
    <t>Hänsyn har tagits till rapporteringsgrad i olyckskostnad. Blev det rätt?</t>
  </si>
  <si>
    <t>värdering generell hastighetsökning</t>
    <phoneticPr fontId="27" type="noConversion"/>
  </si>
  <si>
    <t>värdering   av oväntade förseningar</t>
    <phoneticPr fontId="27" type="noConversion"/>
  </si>
  <si>
    <r>
      <t xml:space="preserve">Kolla Tät trafik C39. Har jag förstått rätt? Förklara! </t>
    </r>
    <r>
      <rPr>
        <sz val="12"/>
        <color indexed="10"/>
        <rFont val="Calibri (Brödtext)"/>
      </rPr>
      <t>Pelle</t>
    </r>
  </si>
  <si>
    <t>normal bränsleförbrukning</t>
  </si>
  <si>
    <t>bränsleförbrukning i kö</t>
  </si>
  <si>
    <t>Resul. effekt vid aktiv kövarning</t>
  </si>
  <si>
    <t xml:space="preserve">Kolla antal sammanbrott i tät trafik. Drygt 3 ggr fler i utvärderingen (60 mot 18 per år) </t>
  </si>
  <si>
    <t>Ska ökad framkomlighet vid incidenter behållas eller reduceras?</t>
  </si>
  <si>
    <t>Borde klimateffekten bli större i enlighet med resultat för M42?</t>
  </si>
  <si>
    <t>Ska nyttan av harmoniseringen sättas tre ggr högre i tabell i flik 'Tät trafik'</t>
  </si>
  <si>
    <t>v 0.54</t>
  </si>
  <si>
    <r>
      <t xml:space="preserve">Lägg in tunnel, bro och körfält i kostnadsberäkning </t>
    </r>
    <r>
      <rPr>
        <b/>
        <sz val="12"/>
        <color rgb="FFFF0000"/>
        <rFont val="Calibri"/>
        <family val="2"/>
        <scheme val="minor"/>
      </rPr>
      <t>Pelle</t>
    </r>
  </si>
  <si>
    <r>
      <t xml:space="preserve">Flytta innehåll i primärolyckor till tät trafik. Ta bort flik Primärolyckor. </t>
    </r>
    <r>
      <rPr>
        <b/>
        <sz val="12"/>
        <color rgb="FFFF0000"/>
        <rFont val="Calibri"/>
        <family val="2"/>
        <scheme val="minor"/>
      </rPr>
      <t>Pelle</t>
    </r>
  </si>
  <si>
    <t>Vföre</t>
  </si>
  <si>
    <t>Vefter</t>
  </si>
  <si>
    <t>Förändring D</t>
  </si>
  <si>
    <t>Förändring SS</t>
  </si>
  <si>
    <t>Förändring PS</t>
  </si>
  <si>
    <t>Ajust</t>
  </si>
  <si>
    <t>Anormal</t>
  </si>
  <si>
    <t>Ka</t>
  </si>
  <si>
    <t>Autfall</t>
  </si>
  <si>
    <t>Egendomsolycka</t>
  </si>
  <si>
    <t>Salem</t>
  </si>
  <si>
    <t>Före</t>
  </si>
  <si>
    <t>Efter</t>
  </si>
  <si>
    <t>Moraberg</t>
  </si>
  <si>
    <t>Hallunda</t>
  </si>
  <si>
    <t>Länk</t>
  </si>
  <si>
    <t>Totalt</t>
  </si>
  <si>
    <t>Antal körfält</t>
  </si>
  <si>
    <t>TPL</t>
  </si>
  <si>
    <t>Moraberg-Salem</t>
  </si>
  <si>
    <t>Salem- Hallunda</t>
  </si>
  <si>
    <t>D</t>
  </si>
  <si>
    <t>SS</t>
  </si>
  <si>
    <r>
      <t xml:space="preserve">Ska olycksvärderingen (ökad PO-kvot) räknas upp i nivå med S-vägen? </t>
    </r>
    <r>
      <rPr>
        <b/>
        <sz val="12"/>
        <color rgb="FFFF0000"/>
        <rFont val="Calibri"/>
        <family val="2"/>
        <scheme val="minor"/>
      </rPr>
      <t>Gunnar kollar!</t>
    </r>
  </si>
  <si>
    <r>
      <t xml:space="preserve">Ska ökad framkomlighet (0,5 km/h) i låg- och mellantrafik antas? </t>
    </r>
    <r>
      <rPr>
        <b/>
        <sz val="12"/>
        <color rgb="FFFF0000"/>
        <rFont val="Calibri"/>
        <family val="2"/>
        <scheme val="minor"/>
      </rPr>
      <t>Pelle</t>
    </r>
  </si>
  <si>
    <r>
      <t xml:space="preserve">Ska ökad framkomlighet (0,6 km/h) i rusningtrafik antas? </t>
    </r>
    <r>
      <rPr>
        <b/>
        <sz val="12"/>
        <color rgb="FFFF0000"/>
        <rFont val="Calibri"/>
        <family val="2"/>
        <scheme val="minor"/>
      </rPr>
      <t>Pelle</t>
    </r>
  </si>
  <si>
    <t>Maxtimtrafik</t>
  </si>
  <si>
    <t xml:space="preserve">Har delsträckor någon funktion nu? </t>
  </si>
  <si>
    <t>+1,4</t>
  </si>
  <si>
    <t>+9,4</t>
  </si>
  <si>
    <t>0,0</t>
  </si>
  <si>
    <t>+1,5</t>
  </si>
  <si>
    <t>+4,7</t>
  </si>
  <si>
    <t>+11,8</t>
  </si>
  <si>
    <t>+0,1</t>
  </si>
  <si>
    <t>Testresultat 2017-01-15</t>
  </si>
  <si>
    <t>+2,1</t>
  </si>
  <si>
    <t>+4,2</t>
  </si>
  <si>
    <t>+7,2</t>
  </si>
  <si>
    <t>+17,0</t>
  </si>
  <si>
    <t>+9,2</t>
  </si>
  <si>
    <t>+4,3</t>
  </si>
  <si>
    <t>-0,1</t>
  </si>
  <si>
    <t>+37,1</t>
  </si>
  <si>
    <t>+13,9</t>
  </si>
  <si>
    <t>+31,8</t>
  </si>
  <si>
    <t>+4,8</t>
  </si>
  <si>
    <t>-0,5</t>
  </si>
  <si>
    <t>Om nyttan anses för hög vid lägre hastigheter kan även faktorerna 3 och 1,5 göras hastighetsberoende.</t>
  </si>
  <si>
    <t>Effekt vid 100% tät trafik</t>
  </si>
  <si>
    <t>Frekvens överbelastningar med sammanbrott för MCS variabel hastighet per månad</t>
  </si>
  <si>
    <t>hastighetsgräns. Uppgradering av MCS med VH/harmonisering på befintliga motorvägar</t>
  </si>
  <si>
    <t>Frekvens överbel</t>
  </si>
  <si>
    <t>Max längd</t>
  </si>
  <si>
    <t>Olycksrisk antas oförändrad vid tät trafik</t>
  </si>
  <si>
    <t>Olyckor i samband med tät trafik (skattat antal primärolyckor)</t>
  </si>
  <si>
    <t>Sekundärolyckor som följd av primärolycka (skattat antal sekundärolyckor)</t>
  </si>
  <si>
    <t>Minskning av personskadeolyckor tack vare VH/harmonisering</t>
  </si>
  <si>
    <t>Testresultat 2017-02-02</t>
  </si>
  <si>
    <t>Hastighets-gräns</t>
  </si>
  <si>
    <t>Fordons-hastighet</t>
  </si>
  <si>
    <t>Modell för beräkning av reducerad risk pga kövarning/rekommenderad hastighet baserad på verklig hastighet och kö vid 40 km/h</t>
  </si>
  <si>
    <t>Modell för beräkning av reducerad risk pga homogenisering/variabel föreskriven hastighetsgräns baserad på verklig hastighet och kö vid 50 km/h</t>
  </si>
  <si>
    <t>Resul. effekt vid 100 % tät trafik</t>
  </si>
  <si>
    <t>v 0.6 Relativa och verkliga hastigheter</t>
  </si>
  <si>
    <t>-0,7</t>
  </si>
  <si>
    <t>-0,4</t>
  </si>
  <si>
    <t>+3,4</t>
  </si>
  <si>
    <t>+0,5</t>
  </si>
  <si>
    <t>+4,4</t>
  </si>
  <si>
    <t>+0,2</t>
  </si>
  <si>
    <t>+0,7</t>
  </si>
  <si>
    <t>+2,6</t>
  </si>
  <si>
    <t>+4,1</t>
  </si>
  <si>
    <t>+5,8</t>
  </si>
  <si>
    <t>+14,3</t>
  </si>
  <si>
    <t>+12,1</t>
  </si>
  <si>
    <t>Kostnad/h pb</t>
  </si>
  <si>
    <t>Kostnad/h Lb</t>
  </si>
  <si>
    <r>
      <t>K</t>
    </r>
    <r>
      <rPr>
        <vertAlign val="subscript"/>
        <sz val="10"/>
        <rFont val="Arial"/>
        <family val="2"/>
      </rPr>
      <t>kominvest</t>
    </r>
  </si>
  <si>
    <t>Andel lastbilar</t>
  </si>
  <si>
    <t>Längden på sträckan där MCS-systemet ska implementeras. Minimilängd 3 km.</t>
  </si>
  <si>
    <t>Beräknat utifrån "Effektsamband". Egen utredning, kan användas vid känslighetsanalys.</t>
  </si>
  <si>
    <t>Trafikarbete Mapkm</t>
  </si>
  <si>
    <t>Incidenter per Mapkm</t>
  </si>
  <si>
    <t>Trafikarbete, Mapkm</t>
  </si>
  <si>
    <t>= Bränsleförbrukning vid jämn hastighet</t>
  </si>
  <si>
    <t>= Bränsleförbrukning vid kökörning med varierande hastighet</t>
  </si>
  <si>
    <t>NNK-i</t>
  </si>
  <si>
    <t>Frågor 170221</t>
  </si>
  <si>
    <r>
      <t xml:space="preserve">Lägg in NNK-i </t>
    </r>
    <r>
      <rPr>
        <sz val="12"/>
        <color rgb="FFFF0000"/>
        <rFont val="Calibri"/>
        <family val="2"/>
        <scheme val="minor"/>
      </rPr>
      <t>Pelle</t>
    </r>
  </si>
  <si>
    <t>Andel sekundärolyckor har uppskattas till 15% av psk-olyckor i USA. Ökad olycksrisk kan uppskattas till 3 ggr högre i köerna efter olyckor</t>
  </si>
  <si>
    <t>Testresultat 2017-02-21</t>
  </si>
  <si>
    <t>v 0.75</t>
  </si>
  <si>
    <t>Hämtas från flik "Indata &amp; Resulat"</t>
  </si>
  <si>
    <t>Kartläggning av händelsetyper för Södertäljevägen (Movea, 2015)</t>
  </si>
  <si>
    <t xml:space="preserve">Minskad restid tack vare generell hastighetsökning </t>
  </si>
  <si>
    <t>Hastighetsökning 0,5 km/h när MCS ej är aktivt</t>
  </si>
  <si>
    <t>värderingar som hämtas från flik "ASEK 6"</t>
  </si>
  <si>
    <t>Kökörning minskar till följd av färre sekundärolyckor</t>
  </si>
  <si>
    <t>Viktas mht andel lastbilar</t>
  </si>
  <si>
    <t>schablonkostnader enligt flik "Investering &amp; drift"</t>
  </si>
  <si>
    <t xml:space="preserve">egna värden från flik "Indata &amp; Resultat" som ersätter schablonvärden  t.ex. vid känslighetsanalys  </t>
  </si>
  <si>
    <t>Avser trängseltid och hämtas från flik "ASEK 6"</t>
  </si>
  <si>
    <t>värdering av extra fördröjning i rusningstrafik</t>
  </si>
  <si>
    <t>Ökad förbrukning vid incidenter hämtas från flik "Miljö"</t>
  </si>
  <si>
    <t>Ökad förbrukning vid överbelastning hämtas från flik "Miljö"</t>
  </si>
  <si>
    <t>Hämtas från flik "Miljö"</t>
  </si>
  <si>
    <t>Bränsleförbrukning är 40-60% lägre om inte sammanbrott inträffar</t>
  </si>
  <si>
    <t>värden som hämtas från flik "Sekundärolyckor"</t>
  </si>
  <si>
    <t>värden som hämtas från flik "Tät trafik"</t>
  </si>
  <si>
    <t>Effekt vid 25% tät trafik</t>
  </si>
  <si>
    <t>Därav med tät trafik och aktivt system</t>
  </si>
  <si>
    <t>Andel trafik över 70% kapacitetsutnyttjande (v/c&gt;0,7), hämtas från flik "Tät trafik" eller egen utredning. Reducerad funktionalitet antas till 0,75 för semi-automatiskt system.</t>
  </si>
  <si>
    <t>Drift inkl skattefaktor</t>
  </si>
  <si>
    <t>Investering inkl skattefaktor</t>
  </si>
  <si>
    <t>Restvärde</t>
  </si>
  <si>
    <t>Instruktion</t>
  </si>
  <si>
    <t xml:space="preserve">Denna lathund kan användas för att beräkna och dokumentera indexomräkning av investeringskostnad (anläggningskostnad)  och beräkning av kapitaliserad investeringskostnad enligt ASEK. </t>
  </si>
  <si>
    <r>
      <rPr>
        <b/>
        <sz val="11"/>
        <color theme="1"/>
        <rFont val="Calibri"/>
        <family val="2"/>
        <scheme val="minor"/>
      </rPr>
      <t xml:space="preserve">Flik "Indexomräkning av kostnad": </t>
    </r>
    <r>
      <rPr>
        <sz val="12"/>
        <color theme="1"/>
        <rFont val="Calibri"/>
        <family val="2"/>
        <scheme val="minor"/>
      </rPr>
      <t xml:space="preserve">här görs indexomräkning  av investeringskostnad (anläggningskostnad) från successiv kostnadskalkyl eller liknande, till kostnad i såväl planprisnivå som till prisnivå för samhällsekonomisk kalkyl. </t>
    </r>
  </si>
  <si>
    <r>
      <rPr>
        <b/>
        <sz val="11"/>
        <color theme="1"/>
        <rFont val="Calibri"/>
        <family val="2"/>
        <scheme val="minor"/>
      </rPr>
      <t>Flik "Kapitaliserad inv kost"</t>
    </r>
    <r>
      <rPr>
        <sz val="12"/>
        <color theme="1"/>
        <rFont val="Calibri"/>
        <family val="2"/>
        <scheme val="minor"/>
      </rPr>
      <t xml:space="preserve">: här görs kapitalisering av investeringskostnaden (2014-års priser) till gemensamt öppningsår. </t>
    </r>
  </si>
  <si>
    <t>Instruktion och fasta parametrar</t>
  </si>
  <si>
    <t>Inmatning av objektsspecifikt värde</t>
  </si>
  <si>
    <t>Delresultat</t>
  </si>
  <si>
    <t>Slutresultat</t>
  </si>
  <si>
    <t>Indexomräkning av kostnad</t>
  </si>
  <si>
    <t>Kostnad från anläggningskostnadskalkyl räknas om från kostnadskalkylens prisnivå till planprisnivå 2015-06 med Infrastrukturindex (väg eller bana).</t>
  </si>
  <si>
    <r>
      <t>Därefter räknas kostnaden i planprisnivå (2015-06) om till samhällsekonomisk investeringskostnad</t>
    </r>
    <r>
      <rPr>
        <sz val="10"/>
        <rFont val="Calibri"/>
        <family val="2"/>
        <scheme val="minor"/>
      </rPr>
      <t xml:space="preserve"> (penningvärde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2014-medel</t>
    </r>
    <r>
      <rPr>
        <sz val="10"/>
        <color theme="1"/>
        <rFont val="Calibri"/>
        <family val="2"/>
        <scheme val="minor"/>
      </rPr>
      <t>) enligt ASEK med KPI.</t>
    </r>
  </si>
  <si>
    <t>Indexomräkning av kostnad i successiv kostnadskalkyl till planprisnivå</t>
  </si>
  <si>
    <t>Kvalitetssäkrad anläggningskostnadskalkyl (Bilaga 2 i SEB):</t>
  </si>
  <si>
    <t>Prisnivå enligt anläggningskostnadskalkyl, på formen 20ÅÅ-MM:</t>
  </si>
  <si>
    <t>Investeringsindex banhållning eller väghållning:</t>
  </si>
  <si>
    <t>järnväg</t>
  </si>
  <si>
    <t>Investeringsindex för prisnivå i anläggningskostnadskalkyl:</t>
  </si>
  <si>
    <t>Investeringsindex för prisnivå 2015-06</t>
  </si>
  <si>
    <t>Indexomräkning av kostnad från planprisnivå till prisnivå enligt ASEK</t>
  </si>
  <si>
    <t>Kostnad i planprisnivå</t>
  </si>
  <si>
    <t>KPI för 2015-06</t>
  </si>
  <si>
    <t>SAMMANSTÄLLNING AV KOSTNADER</t>
  </si>
  <si>
    <t>PRISNIVÅ</t>
  </si>
  <si>
    <t>KOSTNAD</t>
  </si>
  <si>
    <r>
      <rPr>
        <b/>
        <sz val="10"/>
        <color theme="1"/>
        <rFont val="Calibri"/>
        <family val="2"/>
        <scheme val="minor"/>
      </rPr>
      <t xml:space="preserve">Anläggningskostnadskalkyl       </t>
    </r>
    <r>
      <rPr>
        <sz val="10"/>
        <color theme="1"/>
        <rFont val="Calibri"/>
        <family val="2"/>
        <scheme val="minor"/>
      </rPr>
      <t xml:space="preserve">                                             (SEB Tabell 1.3 "Åtgärdskostnad i löpande priser")</t>
    </r>
  </si>
  <si>
    <r>
      <rPr>
        <b/>
        <sz val="10"/>
        <color theme="1"/>
        <rFont val="Calibri"/>
        <family val="2"/>
        <scheme val="minor"/>
      </rPr>
      <t xml:space="preserve">Kostnad i planprisnivå 2015-06  </t>
    </r>
    <r>
      <rPr>
        <sz val="10"/>
        <color theme="1"/>
        <rFont val="Calibri"/>
        <family val="2"/>
        <scheme val="minor"/>
      </rPr>
      <t xml:space="preserve">                                                       (SEB Tabell 1.4 "Åtgärdskostnad och finansiering")</t>
    </r>
  </si>
  <si>
    <t>2015-06</t>
  </si>
  <si>
    <r>
      <rPr>
        <b/>
        <sz val="10"/>
        <rFont val="Calibri"/>
        <family val="2"/>
        <scheme val="minor"/>
      </rPr>
      <t xml:space="preserve">Kostnad i penningvärde 2014-medel         </t>
    </r>
    <r>
      <rPr>
        <sz val="10"/>
        <rFont val="Calibri"/>
        <family val="2"/>
        <scheme val="minor"/>
      </rPr>
      <t xml:space="preserve">                                             (Input till verktyg eller flik "Kapitaliserad inv. kost")</t>
    </r>
  </si>
  <si>
    <t>Kapitalisering av investeringskostnad</t>
  </si>
  <si>
    <t>Du som användare sätter endast antal byggår sedan fördelas investeringskostnaden från flik "indexomräkning kostnad" över byggåren och kapitaliseras till diskonteringsåret enligt principer i ASEK.</t>
  </si>
  <si>
    <t xml:space="preserve">Nuvärdeformel: </t>
  </si>
  <si>
    <t>y/(1+r)^n</t>
  </si>
  <si>
    <t>Diskonteringsränta:</t>
  </si>
  <si>
    <t>Diskonteringsår:</t>
  </si>
  <si>
    <t>Skattefaktor:</t>
  </si>
  <si>
    <t xml:space="preserve">Antal byggår: </t>
  </si>
  <si>
    <t>År</t>
  </si>
  <si>
    <t>Nuvärde av investerings- kostnad</t>
  </si>
  <si>
    <t>Gemensamt öppningsår</t>
  </si>
  <si>
    <t>Totalt inkl skattefaktor</t>
  </si>
  <si>
    <t>1990=100</t>
  </si>
  <si>
    <t>Investerings-index banhållning</t>
  </si>
  <si>
    <t>Investerings-index väghållning</t>
  </si>
  <si>
    <t xml:space="preserve">KPI </t>
  </si>
  <si>
    <t>NPI (används ej?)</t>
  </si>
  <si>
    <t>väg</t>
  </si>
  <si>
    <t>20 års livslängd</t>
  </si>
  <si>
    <t>Efter 20 år</t>
  </si>
  <si>
    <t>MCS-anläggningens investeringskostnad</t>
  </si>
  <si>
    <t>MCS-anläggningens restvärde efter 20 år</t>
  </si>
  <si>
    <t>Restvärde 20 år</t>
  </si>
  <si>
    <t xml:space="preserve">Prisnivå enligt anläggningskostnadskalkyl </t>
  </si>
  <si>
    <r>
      <t>P</t>
    </r>
    <r>
      <rPr>
        <vertAlign val="subscript"/>
        <sz val="10"/>
        <rFont val="Arial"/>
        <family val="2"/>
      </rPr>
      <t>nivå</t>
    </r>
  </si>
  <si>
    <t>[20ÅÅ-MM]</t>
  </si>
  <si>
    <t>ÅÅ-MM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</si>
  <si>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</si>
  <si>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</si>
  <si>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</si>
  <si>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</si>
  <si>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</si>
  <si>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</si>
  <si>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</si>
  <si>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</si>
  <si>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</si>
  <si>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</si>
  <si>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</si>
  <si>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</si>
  <si>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</si>
  <si>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</si>
  <si>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</si>
  <si>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</si>
  <si>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</si>
  <si>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</si>
  <si>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</si>
  <si>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</si>
  <si>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</si>
  <si>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</si>
  <si>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</si>
  <si>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</si>
  <si>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</si>
  <si>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</si>
  <si>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</si>
  <si>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</si>
  <si>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</si>
  <si>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</si>
  <si>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</si>
  <si>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</si>
  <si>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</si>
  <si>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</si>
  <si>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Uppgradering av MCS med VH/homogenisering</t>
  </si>
  <si>
    <t>Grundläggande data</t>
  </si>
  <si>
    <t>[Mapkm/år]</t>
  </si>
  <si>
    <t>[Antal/år]</t>
  </si>
  <si>
    <t>Trafiksäkerhet</t>
  </si>
  <si>
    <t>[Mftim]</t>
  </si>
  <si>
    <t>[M liter]</t>
  </si>
  <si>
    <t>[M kg]</t>
  </si>
  <si>
    <t>Delresultat samhällsekonomisk kalkyl för MCS-åtgärder</t>
  </si>
  <si>
    <t>DELRESULTAT  -  Komplettering med MCS/kövarning/rekommenderad hastighet på befintliga motorvägar</t>
  </si>
  <si>
    <t>DELRESULTAT  -  Uppgradering av MCS med VH/harmonisering på befintliga motorvägar</t>
  </si>
  <si>
    <t>Restid normalt i tät trafik</t>
  </si>
  <si>
    <t>Investering inkl. skattefaktor</t>
  </si>
  <si>
    <t>Delsumma, drift inkl. skattefaktor</t>
  </si>
  <si>
    <t>Indata, ska alltid fyllas i!</t>
  </si>
  <si>
    <t>Hämtas från "ASEK" med skadeföljd enligt "Normalvärden"</t>
  </si>
  <si>
    <t>Avser normal restid och hämtas från flik "ASEK"</t>
  </si>
  <si>
    <t>Hämtas från flik "ASEK"</t>
  </si>
  <si>
    <t>Avser förseningstid och hämtas från flik "ASEK"</t>
  </si>
  <si>
    <t>RPMI-faktorer, MV</t>
  </si>
  <si>
    <t>MAS|SS</t>
  </si>
  <si>
    <t>AS|SS</t>
  </si>
  <si>
    <t>MAS|LS</t>
  </si>
  <si>
    <t>AS|LS</t>
  </si>
  <si>
    <t>(AS-MAS)|SS</t>
  </si>
  <si>
    <t>(AS-MAS)|LS</t>
  </si>
  <si>
    <t>EAS|SS</t>
  </si>
  <si>
    <t>EAS|LS</t>
  </si>
  <si>
    <t>TS MAS</t>
  </si>
  <si>
    <t>TS AS-MAS</t>
  </si>
  <si>
    <t>TS EAS</t>
  </si>
  <si>
    <t>MAS</t>
  </si>
  <si>
    <t>EAS</t>
  </si>
  <si>
    <t>AS-MAS</t>
  </si>
  <si>
    <t>Omräkning till MAS, (MAS-AS), EAS</t>
  </si>
  <si>
    <t>Rapp</t>
  </si>
  <si>
    <t>Faktisk</t>
  </si>
  <si>
    <t>Psk-olyckor uppskattas minska 15-25% tack vare harmonisering (beror av hastighet)</t>
  </si>
  <si>
    <t>ASEK 7.0</t>
  </si>
  <si>
    <t>Investeringskostnad exkl skattefaktor, penningvärde 2017</t>
  </si>
  <si>
    <t>Nytta och kostnader 2025 med 2017 års priser</t>
  </si>
  <si>
    <t>Samhällsekonomisk kalkyl för MCS-åtgärder ver. 2.0</t>
  </si>
  <si>
    <t>Trafikuppräkning per år (2017-2040) %</t>
  </si>
  <si>
    <t>Trafikuppräkning per år (2017-2060) %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</si>
  <si>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</si>
  <si>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</si>
  <si>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</si>
  <si>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</si>
  <si>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</si>
  <si>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</si>
  <si>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</si>
  <si>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</si>
  <si>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</si>
  <si>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</si>
  <si>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</si>
  <si>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</si>
  <si>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</si>
  <si>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</si>
  <si>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</si>
  <si>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</si>
  <si>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</si>
  <si>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</si>
  <si>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</si>
  <si>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</si>
  <si>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</si>
  <si>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</si>
  <si>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</si>
  <si>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</si>
  <si>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</si>
  <si>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</si>
  <si>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</si>
  <si>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</si>
  <si>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</si>
  <si>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</si>
  <si>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</si>
  <si>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</si>
  <si>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</si>
  <si>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</si>
  <si>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</si>
  <si>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</si>
  <si>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</si>
  <si>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</si>
  <si>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NPI har upphört, ersätts med KPI-KS</t>
  </si>
  <si>
    <t>Nytta 2025-2045</t>
  </si>
  <si>
    <t>Antal fordon som passerar snittet per dygn år 2025.</t>
  </si>
  <si>
    <t>Version 2020-04-3</t>
  </si>
  <si>
    <t>Kostn 2025-2045</t>
  </si>
  <si>
    <r>
      <t>Därefter räknas kostnaden i planprisnivå (2015-06) om till samhällsekonomisk investeringskostnad</t>
    </r>
    <r>
      <rPr>
        <sz val="10"/>
        <rFont val="Calibri"/>
        <family val="2"/>
        <scheme val="minor"/>
      </rPr>
      <t xml:space="preserve"> (penningvärde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2017-medel</t>
    </r>
    <r>
      <rPr>
        <sz val="10"/>
        <color theme="1"/>
        <rFont val="Calibri"/>
        <family val="2"/>
        <scheme val="minor"/>
      </rPr>
      <t>) enligt ASEK med KPI.</t>
    </r>
  </si>
  <si>
    <t>KPI för 2017-årsmedel</t>
  </si>
  <si>
    <t>Trafikuppräkning per år (2041-2065) %</t>
  </si>
  <si>
    <t>Trafikuppräkning per år (2017-2045) %</t>
  </si>
  <si>
    <t>2025-2060 tr</t>
  </si>
  <si>
    <t>2025-2060 dr</t>
  </si>
  <si>
    <r>
      <rPr>
        <b/>
        <sz val="10"/>
        <rFont val="Calibri"/>
        <family val="2"/>
        <scheme val="minor"/>
      </rPr>
      <t xml:space="preserve">Kostnad i penningvärde 2017-medel         </t>
    </r>
    <r>
      <rPr>
        <sz val="10"/>
        <rFont val="Calibri"/>
        <family val="2"/>
        <scheme val="minor"/>
      </rPr>
      <t xml:space="preserve">                                             (Input till verktyg eller flik "Kapitaliserad inv. kost")</t>
    </r>
  </si>
  <si>
    <t>2017-årsmedel</t>
  </si>
  <si>
    <t>Avser prognosår 2025-2045</t>
  </si>
  <si>
    <t>Enligt ASEK 7.0  ska investeringskostnaden kapitaliseras till ett gemensamt öppningsår - 2025. Detta innebär att investeringskostnaden ska fördelas på åren 2024 och tidigare i cell D17 till D26. Schabloner för hur investeringskostnaden ska fördelas över byggåren, se rekommendationer i ASEK.</t>
  </si>
  <si>
    <t>Hämtas från flik "ASEK 7.0"</t>
  </si>
  <si>
    <t>Kostnad i planprisnivå 2019-06 - resultat</t>
  </si>
  <si>
    <t>Investeringsindex för prisnivå 2019-06</t>
  </si>
  <si>
    <t>Kostnad i penningvärde 2017 - resultat</t>
  </si>
  <si>
    <t>Version 2020-05</t>
  </si>
  <si>
    <t>2017-2040</t>
  </si>
  <si>
    <t>2017-2065</t>
  </si>
  <si>
    <t>2017-2040 kvot</t>
  </si>
  <si>
    <t>2041-2065 kvot</t>
  </si>
  <si>
    <t>2041-2065 årlig %</t>
  </si>
  <si>
    <t>Gemensamma förutsättningar enligt ASEK 7.1</t>
  </si>
  <si>
    <t>ASEK 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</si>
</sst>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164" formatCode="_-* #,##0.00\ _k_r_-;\-* #,##0.00\ _k_r_-;_-* &quot;-&quot;??\ _k_r_-;_-@_-"/>
    <numFmt numFmtId="165" formatCode="0.0\ &quot;per Mfkm&quot;"/>
    <numFmt numFmtId="166" formatCode="0.0\ &quot;per år&quot;"/>
    <numFmt numFmtId="167" formatCode="0.0\ &quot;Mkr&quot;"/>
    <numFmt numFmtId="168" formatCode="0.0\ &quot;Mftim&quot;"/>
    <numFmt numFmtId="169" formatCode="0.00\ &quot;Mftim&quot;"/>
    <numFmt numFmtId="170" formatCode="0.0\ &quot;kftim&quot;"/>
    <numFmt numFmtId="171" formatCode="0\ &quot;kr/fh&quot;"/>
    <numFmt numFmtId="172" formatCode="0\ &quot;f/d&quot;"/>
    <numFmt numFmtId="173" formatCode="0.0\ &quot;km&quot;"/>
    <numFmt numFmtId="174" formatCode="0.0\ &quot;km/h&quot;"/>
    <numFmt numFmtId="175" formatCode="0.0"/>
    <numFmt numFmtId="176" formatCode="0\ &quot;km/h&quot;"/>
    <numFmt numFmtId="177" formatCode="0.000"/>
    <numFmt numFmtId="178" formatCode="0.0\ &quot;Mkr/år&quot;"/>
    <numFmt numFmtId="179" formatCode="0.00\ &quot;liter/mil&quot;"/>
    <numFmt numFmtId="180" formatCode="0.0\ &quot;M liter&quot;"/>
    <numFmt numFmtId="181" formatCode="0.0\ &quot;M kg&quot;"/>
    <numFmt numFmtId="182" formatCode="_-* #,##0\ _k_r_-;\-* #,##0\ _k_r_-;_-* &quot;-&quot;??\ _k_r_-;_-@_-"/>
    <numFmt numFmtId="183" formatCode="0.00\ &quot;M liter&quot;"/>
    <numFmt numFmtId="184" formatCode="\Å\r\ 0"/>
    <numFmt numFmtId="185" formatCode="0.0%"/>
    <numFmt numFmtId="186" formatCode="0.00000"/>
    <numFmt numFmtId="187" formatCode="0.0\ &quot;Mfkm/år&quot;"/>
    <numFmt numFmtId="188" formatCode="0.000000"/>
    <numFmt numFmtId="189" formatCode="0.0000\ &quot;Mftim&quot;"/>
    <numFmt numFmtId="190" formatCode="0.0000"/>
    <numFmt numFmtId="191" formatCode="0.00\ &quot;M kg&quot;"/>
    <numFmt numFmtId="192" formatCode="0\ &quot;per år&quot;"/>
    <numFmt numFmtId="193" formatCode="0.00\ &quot;CO2/liter&quot;"/>
    <numFmt numFmtId="194" formatCode="0.00\ &quot;Mkr/olycka&quot;"/>
    <numFmt numFmtId="195" formatCode="0.00\ &quot;kr/kg CO2&quot;"/>
    <numFmt numFmtId="196" formatCode="0.0\ &quot;Mapkm/år&quot;"/>
    <numFmt numFmtId="197" formatCode="0.00\ &quot;Mkr/år&quot;"/>
    <numFmt numFmtId="198" formatCode="#,##0.0"/>
    <numFmt numFmtId="199" formatCode="mmmm"/>
  </numFmts>
  <fonts count="8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5"/>
      <color theme="3"/>
      <name val="Calibri"/>
      <family val="2"/>
      <scheme val="minor"/>
    </font>
    <font>
      <b/>
      <sz val="10"/>
      <color rgb="FF0070C0"/>
      <name val="Verdana"/>
      <family val="2"/>
    </font>
    <font>
      <sz val="10"/>
      <color indexed="8"/>
      <name val="Verdana"/>
      <family val="2"/>
    </font>
    <font>
      <i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Palatino Linotype"/>
      <family val="1"/>
    </font>
    <font>
      <sz val="11"/>
      <color theme="1"/>
      <name val="Calibri"/>
      <family val="2"/>
      <scheme val="minor"/>
    </font>
    <font>
      <b/>
      <sz val="10"/>
      <color theme="7" tint="-0.249977111117893"/>
      <name val="Verdana"/>
      <family val="2"/>
    </font>
    <font>
      <sz val="10"/>
      <color indexed="8"/>
      <name val="Arial"/>
      <family val="2"/>
    </font>
    <font>
      <b/>
      <sz val="10"/>
      <color theme="9" tint="-0.249977111117893"/>
      <name val="Verdana"/>
      <family val="2"/>
    </font>
    <font>
      <sz val="12"/>
      <color rgb="FFFF0000"/>
      <name val="Calibri"/>
      <family val="2"/>
      <scheme val="minor"/>
    </font>
    <font>
      <sz val="12"/>
      <color indexed="10"/>
      <name val="Calibri (Brödtext)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1"/>
      <name val="Palatino Linotype"/>
      <family val="1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Palatino Linotype"/>
      <family val="1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vertAlign val="subscript"/>
      <sz val="1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0"/>
      <color indexed="10"/>
      <name val="Arial"/>
      <family val="2"/>
    </font>
    <font>
      <sz val="11"/>
      <color rgb="FF1F4E79"/>
      <name val="Calibri"/>
      <family val="2"/>
      <scheme val="minor"/>
    </font>
    <font>
      <sz val="11"/>
      <color rgb="FF1F4E79"/>
      <name val="Calibri"/>
      <family val="2"/>
    </font>
    <font>
      <b/>
      <sz val="10"/>
      <color rgb="FF963634"/>
      <name val="Arial"/>
      <family val="2"/>
    </font>
    <font>
      <b/>
      <sz val="10"/>
      <color indexed="8"/>
      <name val="Arial"/>
      <family val="2"/>
    </font>
    <font>
      <sz val="11.5"/>
      <color indexed="9"/>
      <name val="Arial"/>
      <family val="2"/>
    </font>
    <font>
      <sz val="12"/>
      <color rgb="FF963435"/>
      <name val="Calibri"/>
      <family val="2"/>
      <scheme val="minor"/>
    </font>
    <font>
      <sz val="11"/>
      <color indexed="8"/>
      <name val="Palatino Linotype"/>
      <family val="1"/>
    </font>
    <font>
      <b/>
      <sz val="11"/>
      <color indexed="8"/>
      <name val="Palatino Linotype"/>
      <family val="1"/>
    </font>
    <font>
      <i/>
      <sz val="10"/>
      <color theme="1"/>
      <name val="Calibri"/>
      <family val="2"/>
      <scheme val="minor"/>
    </font>
    <font>
      <b/>
      <i/>
      <sz val="8"/>
      <color rgb="FF963435"/>
      <name val="Arial"/>
      <family val="2"/>
    </font>
    <font>
      <sz val="8"/>
      <color rgb="FF963435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rgb="FFC00000"/>
      <name val="Arial"/>
      <family val="2"/>
    </font>
    <font>
      <sz val="11"/>
      <color indexed="8"/>
      <name val="Palatino"/>
    </font>
    <font>
      <sz val="8"/>
      <name val="Verdana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2"/>
      <color indexed="14"/>
      <name val="Calibri"/>
      <family val="2"/>
    </font>
    <font>
      <sz val="10"/>
      <color indexed="10"/>
      <name val="Verdana"/>
      <family val="2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9"/>
      <color indexed="81"/>
      <name val="Tahoma"/>
      <family val="2"/>
    </font>
    <font>
      <b/>
      <i/>
      <sz val="8"/>
      <name val="Arial"/>
      <family val="2"/>
    </font>
    <font>
      <b/>
      <sz val="14"/>
      <color theme="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gray125">
        <bgColor rgb="FFE5E5E5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AF0DD"/>
        <bgColor indexed="64"/>
      </patternFill>
    </fill>
    <fill>
      <patternFill patternType="solid">
        <fgColor rgb="FFF1DDD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87CEFA"/>
      </patternFill>
    </fill>
    <fill>
      <patternFill patternType="solid">
        <fgColor rgb="FFF0B7A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A66BD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8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indexed="12"/>
      </top>
      <bottom style="medium">
        <color indexed="12"/>
      </bottom>
      <diagonal/>
    </border>
    <border>
      <left style="medium">
        <color auto="1"/>
      </left>
      <right style="medium">
        <color auto="1"/>
      </right>
      <top style="medium">
        <color indexed="12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 style="medium">
        <color auto="1"/>
      </right>
      <top style="medium">
        <color indexed="12"/>
      </top>
      <bottom/>
      <diagonal/>
    </border>
    <border>
      <left style="medium">
        <color auto="1"/>
      </left>
      <right/>
      <top style="medium">
        <color indexed="12"/>
      </top>
      <bottom style="medium">
        <color indexed="12"/>
      </bottom>
      <diagonal/>
    </border>
    <border>
      <left style="medium">
        <color auto="1"/>
      </left>
      <right/>
      <top style="medium">
        <color indexed="12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EAF0DD"/>
      </right>
      <top/>
      <bottom/>
      <diagonal/>
    </border>
    <border>
      <left/>
      <right style="thick">
        <color rgb="FFEAF0DD"/>
      </right>
      <top/>
      <bottom style="medium">
        <color rgb="FF000000"/>
      </bottom>
      <diagonal/>
    </border>
    <border>
      <left/>
      <right style="thick">
        <color rgb="FFEAF0DD"/>
      </right>
      <top/>
      <bottom style="thick">
        <color rgb="FFEAF0DD"/>
      </bottom>
      <diagonal/>
    </border>
    <border>
      <left style="medium">
        <color rgb="FF000000"/>
      </left>
      <right style="thick">
        <color rgb="FFF1DDDC"/>
      </right>
      <top/>
      <bottom style="medium">
        <color rgb="FF000000"/>
      </bottom>
      <diagonal/>
    </border>
    <border>
      <left/>
      <right style="thick">
        <color rgb="FFF1DDDC"/>
      </right>
      <top/>
      <bottom style="thick">
        <color rgb="FFF1DDDC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ck">
        <color rgb="FFEAF0DD"/>
      </right>
      <top style="medium">
        <color auto="1"/>
      </top>
      <bottom style="medium">
        <color auto="1"/>
      </bottom>
      <diagonal/>
    </border>
    <border>
      <left/>
      <right style="thick">
        <color rgb="FFEAF0DD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ck">
        <color rgb="FFF1DDDC"/>
      </right>
      <top/>
      <bottom/>
      <diagonal/>
    </border>
    <border>
      <left/>
      <right style="thick">
        <color rgb="FFF1DDDC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0" fontId="9" fillId="0" borderId="0"/>
    <xf numFmtId="9" fontId="8" fillId="0" borderId="0" applyFont="0" applyFill="0" applyBorder="0" applyAlignment="0" applyProtection="0"/>
    <xf numFmtId="0" fontId="23" fillId="0" borderId="0"/>
    <xf numFmtId="0" fontId="16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37" fillId="13" borderId="0" applyNumberFormat="0" applyBorder="0" applyAlignment="0" applyProtection="0"/>
    <xf numFmtId="0" fontId="45" fillId="23" borderId="50">
      <alignment wrapText="1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0" fontId="2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633">
    <xf numFmtId="0" fontId="0" fillId="0" borderId="0" xfId="0"/>
    <xf numFmtId="189" fontId="9" fillId="0" borderId="0" xfId="1" applyNumberFormat="1" applyAlignment="1">
      <alignment wrapText="1"/>
    </xf>
    <xf numFmtId="0" fontId="10" fillId="0" borderId="0" xfId="1" applyFont="1" applyAlignment="1">
      <alignment wrapText="1"/>
    </xf>
    <xf numFmtId="0" fontId="9" fillId="0" borderId="0" xfId="1" applyAlignment="1">
      <alignment wrapText="1"/>
    </xf>
    <xf numFmtId="0" fontId="9" fillId="0" borderId="0" xfId="1" applyFont="1" applyAlignment="1">
      <alignment wrapText="1"/>
    </xf>
    <xf numFmtId="0" fontId="9" fillId="0" borderId="0" xfId="1" quotePrefix="1" applyFont="1" applyAlignment="1">
      <alignment wrapText="1"/>
    </xf>
    <xf numFmtId="165" fontId="9" fillId="0" borderId="0" xfId="1" applyNumberFormat="1" applyAlignment="1">
      <alignment wrapText="1"/>
    </xf>
    <xf numFmtId="166" fontId="9" fillId="0" borderId="0" xfId="1" applyNumberFormat="1" applyAlignment="1">
      <alignment wrapText="1"/>
    </xf>
    <xf numFmtId="167" fontId="9" fillId="0" borderId="0" xfId="1" applyNumberFormat="1" applyFont="1" applyAlignment="1">
      <alignment horizontal="right" wrapText="1"/>
    </xf>
    <xf numFmtId="168" fontId="9" fillId="0" borderId="0" xfId="1" applyNumberFormat="1" applyAlignment="1">
      <alignment wrapText="1"/>
    </xf>
    <xf numFmtId="169" fontId="9" fillId="0" borderId="0" xfId="1" applyNumberFormat="1" applyAlignment="1">
      <alignment wrapText="1"/>
    </xf>
    <xf numFmtId="170" fontId="9" fillId="0" borderId="0" xfId="1" applyNumberFormat="1" applyAlignment="1">
      <alignment wrapText="1"/>
    </xf>
    <xf numFmtId="0" fontId="9" fillId="0" borderId="0" xfId="1"/>
    <xf numFmtId="171" fontId="9" fillId="0" borderId="0" xfId="1" applyNumberFormat="1" applyAlignment="1">
      <alignment wrapText="1"/>
    </xf>
    <xf numFmtId="0" fontId="9" fillId="0" borderId="0" xfId="1" applyAlignment="1">
      <alignment horizontal="right" wrapText="1"/>
    </xf>
    <xf numFmtId="0" fontId="0" fillId="0" borderId="0" xfId="0" applyAlignment="1">
      <alignment horizontal="right"/>
    </xf>
    <xf numFmtId="0" fontId="0" fillId="2" borderId="0" xfId="0" applyFill="1"/>
    <xf numFmtId="0" fontId="10" fillId="0" borderId="0" xfId="1" applyFont="1" applyFill="1" applyAlignment="1">
      <alignment wrapText="1"/>
    </xf>
    <xf numFmtId="0" fontId="11" fillId="0" borderId="0" xfId="1" applyFont="1" applyAlignment="1">
      <alignment wrapText="1"/>
    </xf>
    <xf numFmtId="9" fontId="9" fillId="0" borderId="0" xfId="1" applyNumberFormat="1" applyAlignment="1">
      <alignment wrapText="1"/>
    </xf>
    <xf numFmtId="0" fontId="13" fillId="0" borderId="0" xfId="1" applyFont="1" applyAlignment="1">
      <alignment wrapText="1"/>
    </xf>
    <xf numFmtId="0" fontId="10" fillId="0" borderId="0" xfId="1" applyFont="1" applyAlignment="1">
      <alignment wrapText="1"/>
    </xf>
    <xf numFmtId="175" fontId="0" fillId="0" borderId="0" xfId="0" applyNumberFormat="1"/>
    <xf numFmtId="9" fontId="0" fillId="0" borderId="0" xfId="2" applyFont="1" applyAlignment="1">
      <alignment horizontal="right"/>
    </xf>
    <xf numFmtId="9" fontId="0" fillId="0" borderId="0" xfId="2" applyFont="1"/>
    <xf numFmtId="0" fontId="0" fillId="0" borderId="0" xfId="0" applyAlignment="1">
      <alignment wrapText="1"/>
    </xf>
    <xf numFmtId="0" fontId="0" fillId="0" borderId="0" xfId="0" applyFont="1"/>
    <xf numFmtId="0" fontId="14" fillId="0" borderId="0" xfId="0" applyFont="1"/>
    <xf numFmtId="0" fontId="10" fillId="0" borderId="0" xfId="0" applyFont="1"/>
    <xf numFmtId="0" fontId="9" fillId="0" borderId="0" xfId="0" applyFont="1"/>
    <xf numFmtId="175" fontId="0" fillId="0" borderId="0" xfId="0" applyNumberFormat="1" applyFont="1"/>
    <xf numFmtId="9" fontId="8" fillId="0" borderId="0" xfId="2" applyFont="1" applyAlignment="1">
      <alignment horizontal="right"/>
    </xf>
    <xf numFmtId="0" fontId="15" fillId="0" borderId="0" xfId="0" applyFont="1"/>
    <xf numFmtId="9" fontId="0" fillId="0" borderId="0" xfId="0" applyNumberFormat="1"/>
    <xf numFmtId="0" fontId="10" fillId="0" borderId="0" xfId="1" applyFont="1" applyAlignment="1">
      <alignment wrapText="1"/>
    </xf>
    <xf numFmtId="0" fontId="0" fillId="0" borderId="0" xfId="0" applyAlignment="1">
      <alignment wrapText="1"/>
    </xf>
    <xf numFmtId="0" fontId="0" fillId="4" borderId="0" xfId="0" applyFill="1"/>
    <xf numFmtId="9" fontId="9" fillId="0" borderId="0" xfId="1" applyNumberFormat="1" applyFill="1" applyAlignment="1">
      <alignment wrapText="1"/>
    </xf>
    <xf numFmtId="0" fontId="10" fillId="0" borderId="0" xfId="1" applyFont="1" applyAlignment="1">
      <alignment wrapText="1"/>
    </xf>
    <xf numFmtId="0" fontId="0" fillId="0" borderId="0" xfId="0" applyAlignment="1">
      <alignment wrapText="1"/>
    </xf>
    <xf numFmtId="0" fontId="18" fillId="5" borderId="8" xfId="0" applyFont="1" applyFill="1" applyBorder="1" applyAlignment="1">
      <alignment vertical="center"/>
    </xf>
    <xf numFmtId="0" fontId="18" fillId="5" borderId="9" xfId="0" applyFont="1" applyFill="1" applyBorder="1" applyAlignment="1">
      <alignment vertical="center"/>
    </xf>
    <xf numFmtId="0" fontId="18" fillId="5" borderId="9" xfId="0" applyFont="1" applyFill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7" fillId="0" borderId="3" xfId="0" applyFont="1" applyBorder="1"/>
    <xf numFmtId="0" fontId="20" fillId="0" borderId="0" xfId="0" applyFont="1" applyAlignment="1">
      <alignment vertical="center"/>
    </xf>
    <xf numFmtId="167" fontId="0" fillId="0" borderId="0" xfId="0" applyNumberFormat="1"/>
    <xf numFmtId="0" fontId="19" fillId="0" borderId="4" xfId="0" applyFont="1" applyBorder="1" applyAlignment="1">
      <alignment horizontal="right" vertical="center"/>
    </xf>
    <xf numFmtId="0" fontId="22" fillId="0" borderId="0" xfId="1" quotePrefix="1" applyFont="1" applyAlignment="1">
      <alignment wrapText="1"/>
    </xf>
    <xf numFmtId="0" fontId="23" fillId="6" borderId="10" xfId="3" applyFont="1" applyFill="1" applyBorder="1" applyAlignment="1">
      <alignment horizontal="center"/>
    </xf>
    <xf numFmtId="0" fontId="16" fillId="7" borderId="0" xfId="4" applyFill="1"/>
    <xf numFmtId="0" fontId="16" fillId="7" borderId="0" xfId="4" applyFont="1" applyFill="1" applyAlignment="1">
      <alignment horizontal="center"/>
    </xf>
    <xf numFmtId="177" fontId="16" fillId="7" borderId="0" xfId="4" applyNumberFormat="1" applyFont="1" applyFill="1"/>
    <xf numFmtId="177" fontId="16" fillId="0" borderId="0" xfId="4" applyNumberFormat="1" applyFont="1"/>
    <xf numFmtId="0" fontId="16" fillId="7" borderId="0" xfId="4" applyFill="1" applyAlignment="1">
      <alignment horizontal="center"/>
    </xf>
    <xf numFmtId="0" fontId="16" fillId="8" borderId="0" xfId="4" applyFill="1"/>
    <xf numFmtId="0" fontId="16" fillId="8" borderId="0" xfId="4" applyFont="1" applyFill="1" applyAlignment="1">
      <alignment horizontal="center"/>
    </xf>
    <xf numFmtId="177" fontId="16" fillId="8" borderId="0" xfId="4" applyNumberFormat="1" applyFont="1" applyFill="1"/>
    <xf numFmtId="0" fontId="16" fillId="8" borderId="0" xfId="4" applyFill="1" applyAlignment="1">
      <alignment horizontal="center"/>
    </xf>
    <xf numFmtId="0" fontId="24" fillId="0" borderId="0" xfId="1" applyFont="1" applyAlignment="1">
      <alignment wrapText="1"/>
    </xf>
    <xf numFmtId="178" fontId="9" fillId="0" borderId="0" xfId="1" applyNumberFormat="1" applyFont="1" applyAlignment="1">
      <alignment horizontal="right" wrapText="1"/>
    </xf>
    <xf numFmtId="180" fontId="9" fillId="0" borderId="0" xfId="1" applyNumberFormat="1" applyFont="1" applyAlignment="1">
      <alignment horizontal="right" wrapText="1"/>
    </xf>
    <xf numFmtId="181" fontId="9" fillId="0" borderId="0" xfId="1" applyNumberFormat="1" applyFont="1" applyAlignment="1">
      <alignment horizontal="right" wrapText="1"/>
    </xf>
    <xf numFmtId="178" fontId="9" fillId="0" borderId="0" xfId="1" applyNumberFormat="1" applyAlignment="1">
      <alignment wrapText="1"/>
    </xf>
    <xf numFmtId="175" fontId="9" fillId="0" borderId="0" xfId="1" applyNumberFormat="1" applyAlignment="1">
      <alignment wrapText="1"/>
    </xf>
    <xf numFmtId="0" fontId="23" fillId="6" borderId="11" xfId="3" applyFont="1" applyFill="1" applyBorder="1" applyAlignment="1">
      <alignment horizontal="center"/>
    </xf>
    <xf numFmtId="0" fontId="9" fillId="0" borderId="0" xfId="1" applyFill="1" applyAlignment="1">
      <alignment wrapText="1"/>
    </xf>
    <xf numFmtId="0" fontId="25" fillId="0" borderId="0" xfId="0" applyFont="1"/>
    <xf numFmtId="174" fontId="9" fillId="4" borderId="0" xfId="1" applyNumberFormat="1" applyFill="1" applyAlignment="1">
      <alignment wrapText="1"/>
    </xf>
    <xf numFmtId="0" fontId="28" fillId="0" borderId="0" xfId="0" applyFont="1"/>
    <xf numFmtId="0" fontId="25" fillId="0" borderId="0" xfId="0" applyFont="1" applyAlignment="1">
      <alignment wrapText="1"/>
    </xf>
    <xf numFmtId="179" fontId="0" fillId="10" borderId="0" xfId="0" applyNumberFormat="1" applyFill="1"/>
    <xf numFmtId="0" fontId="0" fillId="10" borderId="0" xfId="0" applyFill="1"/>
    <xf numFmtId="182" fontId="9" fillId="0" borderId="0" xfId="7" applyNumberFormat="1" applyFont="1" applyAlignment="1">
      <alignment horizontal="center" wrapText="1"/>
    </xf>
    <xf numFmtId="0" fontId="9" fillId="0" borderId="0" xfId="1" applyAlignment="1">
      <alignment horizontal="right"/>
    </xf>
    <xf numFmtId="0" fontId="10" fillId="0" borderId="0" xfId="1" applyFont="1" applyAlignment="1">
      <alignment wrapText="1"/>
    </xf>
    <xf numFmtId="2" fontId="0" fillId="0" borderId="0" xfId="0" applyNumberFormat="1" applyAlignment="1">
      <alignment horizontal="right"/>
    </xf>
    <xf numFmtId="0" fontId="31" fillId="0" borderId="0" xfId="0" applyFont="1" applyAlignment="1">
      <alignment vertical="center"/>
    </xf>
    <xf numFmtId="0" fontId="10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0" fillId="11" borderId="0" xfId="0" applyFill="1"/>
    <xf numFmtId="0" fontId="0" fillId="12" borderId="0" xfId="0" applyFill="1"/>
    <xf numFmtId="2" fontId="0" fillId="0" borderId="0" xfId="0" applyNumberFormat="1"/>
    <xf numFmtId="184" fontId="0" fillId="0" borderId="0" xfId="0" applyNumberFormat="1"/>
    <xf numFmtId="185" fontId="0" fillId="0" borderId="0" xfId="0" applyNumberFormat="1"/>
    <xf numFmtId="0" fontId="3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1" applyFont="1" applyAlignment="1">
      <alignment wrapText="1"/>
    </xf>
    <xf numFmtId="0" fontId="14" fillId="0" borderId="0" xfId="0" applyFont="1" applyFill="1" applyAlignment="1">
      <alignment horizontal="right"/>
    </xf>
    <xf numFmtId="172" fontId="9" fillId="0" borderId="0" xfId="1" applyNumberFormat="1" applyFont="1" applyFill="1" applyAlignment="1">
      <alignment horizontal="right" wrapText="1"/>
    </xf>
    <xf numFmtId="176" fontId="9" fillId="0" borderId="0" xfId="1" applyNumberFormat="1" applyFill="1" applyAlignment="1">
      <alignment wrapText="1"/>
    </xf>
    <xf numFmtId="173" fontId="9" fillId="0" borderId="0" xfId="1" applyNumberFormat="1" applyFont="1" applyFill="1" applyAlignment="1">
      <alignment wrapText="1"/>
    </xf>
    <xf numFmtId="0" fontId="9" fillId="0" borderId="0" xfId="1" applyFont="1" applyFill="1" applyAlignment="1">
      <alignment wrapText="1"/>
    </xf>
    <xf numFmtId="171" fontId="9" fillId="0" borderId="0" xfId="1" applyNumberFormat="1" applyFill="1" applyAlignment="1">
      <alignment wrapText="1"/>
    </xf>
    <xf numFmtId="0" fontId="0" fillId="0" borderId="0" xfId="0" applyFill="1"/>
    <xf numFmtId="179" fontId="0" fillId="0" borderId="0" xfId="0" applyNumberFormat="1" applyFill="1"/>
    <xf numFmtId="0" fontId="0" fillId="0" borderId="0" xfId="0" applyFill="1" applyAlignment="1">
      <alignment horizontal="right"/>
    </xf>
    <xf numFmtId="0" fontId="7" fillId="0" borderId="0" xfId="0" applyFont="1"/>
    <xf numFmtId="0" fontId="34" fillId="0" borderId="0" xfId="0" applyFont="1"/>
    <xf numFmtId="0" fontId="35" fillId="0" borderId="1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top" wrapText="1"/>
    </xf>
    <xf numFmtId="0" fontId="35" fillId="0" borderId="3" xfId="0" applyFont="1" applyBorder="1" applyAlignment="1">
      <alignment vertical="top" wrapText="1"/>
    </xf>
    <xf numFmtId="0" fontId="35" fillId="0" borderId="4" xfId="0" applyFont="1" applyBorder="1" applyAlignment="1">
      <alignment horizontal="center" vertical="top" wrapText="1"/>
    </xf>
    <xf numFmtId="0" fontId="35" fillId="0" borderId="5" xfId="0" applyFont="1" applyBorder="1" applyAlignment="1">
      <alignment horizontal="center" vertical="top" wrapText="1"/>
    </xf>
    <xf numFmtId="0" fontId="35" fillId="0" borderId="5" xfId="0" applyFont="1" applyBorder="1"/>
    <xf numFmtId="0" fontId="35" fillId="0" borderId="0" xfId="0" applyFont="1" applyBorder="1"/>
    <xf numFmtId="1" fontId="35" fillId="0" borderId="4" xfId="0" applyNumberFormat="1" applyFont="1" applyBorder="1" applyAlignment="1">
      <alignment horizontal="center" vertical="top" wrapText="1"/>
    </xf>
    <xf numFmtId="3" fontId="35" fillId="0" borderId="6" xfId="0" applyNumberFormat="1" applyFont="1" applyBorder="1" applyAlignment="1">
      <alignment vertical="top" wrapText="1"/>
    </xf>
    <xf numFmtId="175" fontId="35" fillId="0" borderId="6" xfId="0" applyNumberFormat="1" applyFont="1" applyBorder="1" applyAlignment="1">
      <alignment vertical="top" wrapText="1"/>
    </xf>
    <xf numFmtId="186" fontId="35" fillId="0" borderId="0" xfId="0" applyNumberFormat="1" applyFont="1" applyFill="1" applyBorder="1" applyAlignment="1">
      <alignment vertical="top" wrapText="1"/>
    </xf>
    <xf numFmtId="177" fontId="35" fillId="0" borderId="0" xfId="0" applyNumberFormat="1" applyFont="1" applyFill="1" applyBorder="1" applyAlignment="1">
      <alignment vertical="top" wrapText="1"/>
    </xf>
    <xf numFmtId="1" fontId="35" fillId="0" borderId="4" xfId="0" applyNumberFormat="1" applyFont="1" applyFill="1" applyBorder="1" applyAlignment="1">
      <alignment horizontal="center" vertical="top" wrapText="1"/>
    </xf>
    <xf numFmtId="3" fontId="35" fillId="0" borderId="6" xfId="0" applyNumberFormat="1" applyFont="1" applyFill="1" applyBorder="1" applyAlignment="1">
      <alignment vertical="top" wrapText="1"/>
    </xf>
    <xf numFmtId="175" fontId="35" fillId="0" borderId="6" xfId="0" applyNumberFormat="1" applyFont="1" applyFill="1" applyBorder="1" applyAlignment="1">
      <alignment vertical="top" wrapText="1"/>
    </xf>
    <xf numFmtId="3" fontId="35" fillId="0" borderId="7" xfId="0" applyNumberFormat="1" applyFont="1" applyFill="1" applyBorder="1" applyAlignment="1">
      <alignment vertical="top" wrapText="1"/>
    </xf>
    <xf numFmtId="175" fontId="35" fillId="0" borderId="7" xfId="0" applyNumberFormat="1" applyFont="1" applyFill="1" applyBorder="1" applyAlignment="1">
      <alignment vertical="top" wrapText="1"/>
    </xf>
    <xf numFmtId="0" fontId="35" fillId="9" borderId="3" xfId="0" applyFont="1" applyFill="1" applyBorder="1" applyAlignment="1">
      <alignment vertical="top" wrapText="1"/>
    </xf>
    <xf numFmtId="0" fontId="35" fillId="9" borderId="4" xfId="0" applyFont="1" applyFill="1" applyBorder="1" applyAlignment="1">
      <alignment horizontal="center" vertical="top" wrapText="1"/>
    </xf>
    <xf numFmtId="3" fontId="35" fillId="9" borderId="12" xfId="0" applyNumberFormat="1" applyFont="1" applyFill="1" applyBorder="1" applyAlignment="1">
      <alignment vertical="top" wrapText="1"/>
    </xf>
    <xf numFmtId="175" fontId="35" fillId="9" borderId="12" xfId="0" applyNumberFormat="1" applyFont="1" applyFill="1" applyBorder="1" applyAlignment="1">
      <alignment vertical="top" wrapText="1"/>
    </xf>
    <xf numFmtId="186" fontId="35" fillId="9" borderId="0" xfId="0" applyNumberFormat="1" applyFont="1" applyFill="1" applyBorder="1" applyAlignment="1">
      <alignment vertical="top" wrapText="1"/>
    </xf>
    <xf numFmtId="177" fontId="35" fillId="9" borderId="0" xfId="0" applyNumberFormat="1" applyFont="1" applyFill="1" applyBorder="1" applyAlignment="1">
      <alignment vertical="top" wrapText="1"/>
    </xf>
    <xf numFmtId="0" fontId="35" fillId="0" borderId="4" xfId="0" applyFont="1" applyFill="1" applyBorder="1" applyAlignment="1">
      <alignment horizontal="center" vertical="top" wrapText="1"/>
    </xf>
    <xf numFmtId="0" fontId="36" fillId="0" borderId="0" xfId="0" applyFont="1"/>
    <xf numFmtId="1" fontId="36" fillId="0" borderId="0" xfId="0" applyNumberFormat="1" applyFont="1" applyAlignment="1">
      <alignment horizontal="right"/>
    </xf>
    <xf numFmtId="2" fontId="35" fillId="0" borderId="13" xfId="0" applyNumberFormat="1" applyFont="1" applyFill="1" applyBorder="1" applyAlignment="1">
      <alignment vertical="top" wrapText="1"/>
    </xf>
    <xf numFmtId="0" fontId="35" fillId="9" borderId="14" xfId="0" applyFont="1" applyFill="1" applyBorder="1" applyAlignment="1">
      <alignment vertical="top" wrapText="1"/>
    </xf>
    <xf numFmtId="1" fontId="35" fillId="0" borderId="0" xfId="0" applyNumberFormat="1" applyFont="1" applyBorder="1" applyAlignment="1">
      <alignment horizontal="center" vertical="top" wrapText="1"/>
    </xf>
    <xf numFmtId="1" fontId="35" fillId="0" borderId="0" xfId="0" applyNumberFormat="1" applyFont="1" applyFill="1" applyBorder="1" applyAlignment="1">
      <alignment horizontal="center" vertical="top" wrapText="1"/>
    </xf>
    <xf numFmtId="0" fontId="35" fillId="9" borderId="0" xfId="0" applyFont="1" applyFill="1" applyBorder="1" applyAlignment="1">
      <alignment horizontal="center" vertical="top" wrapText="1"/>
    </xf>
    <xf numFmtId="0" fontId="7" fillId="0" borderId="0" xfId="0" applyFont="1" applyBorder="1"/>
    <xf numFmtId="186" fontId="36" fillId="0" borderId="0" xfId="0" applyNumberFormat="1" applyFont="1" applyBorder="1"/>
    <xf numFmtId="1" fontId="31" fillId="0" borderId="0" xfId="0" applyNumberFormat="1" applyFont="1" applyAlignment="1">
      <alignment vertical="center"/>
    </xf>
    <xf numFmtId="1" fontId="9" fillId="0" borderId="0" xfId="0" applyNumberFormat="1" applyFont="1"/>
    <xf numFmtId="0" fontId="19" fillId="0" borderId="4" xfId="0" applyFont="1" applyBorder="1" applyAlignment="1">
      <alignment vertical="center" wrapText="1"/>
    </xf>
    <xf numFmtId="0" fontId="18" fillId="0" borderId="3" xfId="0" applyFont="1" applyBorder="1" applyAlignment="1">
      <alignment vertical="center"/>
    </xf>
    <xf numFmtId="0" fontId="18" fillId="0" borderId="4" xfId="0" applyFont="1" applyBorder="1" applyAlignment="1">
      <alignment vertical="center" wrapText="1"/>
    </xf>
    <xf numFmtId="167" fontId="19" fillId="0" borderId="4" xfId="0" applyNumberFormat="1" applyFont="1" applyBorder="1" applyAlignment="1">
      <alignment horizontal="right" vertical="center"/>
    </xf>
    <xf numFmtId="167" fontId="19" fillId="0" borderId="8" xfId="0" applyNumberFormat="1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9" fillId="0" borderId="0" xfId="1" applyFill="1" applyAlignment="1">
      <alignment horizontal="right" wrapText="1"/>
    </xf>
    <xf numFmtId="0" fontId="40" fillId="0" borderId="0" xfId="0" applyFont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175" fontId="28" fillId="0" borderId="0" xfId="0" applyNumberFormat="1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175" fontId="43" fillId="0" borderId="0" xfId="0" applyNumberFormat="1" applyFont="1"/>
    <xf numFmtId="2" fontId="43" fillId="0" borderId="0" xfId="0" applyNumberFormat="1" applyFont="1"/>
    <xf numFmtId="2" fontId="9" fillId="14" borderId="0" xfId="1" applyNumberFormat="1" applyFont="1" applyFill="1" applyAlignment="1">
      <alignment wrapText="1"/>
    </xf>
    <xf numFmtId="173" fontId="9" fillId="2" borderId="0" xfId="1" applyNumberFormat="1" applyFont="1" applyFill="1" applyAlignment="1" applyProtection="1">
      <alignment wrapText="1"/>
      <protection locked="0"/>
    </xf>
    <xf numFmtId="172" fontId="9" fillId="2" borderId="0" xfId="1" applyNumberFormat="1" applyFont="1" applyFill="1" applyAlignment="1" applyProtection="1">
      <alignment horizontal="right" wrapText="1"/>
      <protection locked="0"/>
    </xf>
    <xf numFmtId="176" fontId="9" fillId="2" borderId="0" xfId="1" applyNumberFormat="1" applyFill="1" applyAlignment="1" applyProtection="1">
      <alignment wrapText="1"/>
      <protection locked="0"/>
    </xf>
    <xf numFmtId="0" fontId="14" fillId="2" borderId="0" xfId="0" applyFont="1" applyFill="1" applyAlignment="1" applyProtection="1">
      <alignment horizontal="right"/>
      <protection locked="0"/>
    </xf>
    <xf numFmtId="10" fontId="0" fillId="0" borderId="0" xfId="0" applyNumberFormat="1"/>
    <xf numFmtId="0" fontId="0" fillId="0" borderId="0" xfId="0" applyProtection="1"/>
    <xf numFmtId="0" fontId="0" fillId="15" borderId="21" xfId="0" applyFill="1" applyBorder="1" applyProtection="1"/>
    <xf numFmtId="0" fontId="16" fillId="15" borderId="0" xfId="0" applyFont="1" applyFill="1" applyBorder="1" applyProtection="1"/>
    <xf numFmtId="0" fontId="16" fillId="15" borderId="0" xfId="0" applyFont="1" applyFill="1" applyBorder="1" applyAlignment="1" applyProtection="1">
      <alignment vertical="center"/>
    </xf>
    <xf numFmtId="0" fontId="16" fillId="15" borderId="0" xfId="0" applyNumberFormat="1" applyFont="1" applyFill="1" applyBorder="1" applyProtection="1"/>
    <xf numFmtId="0" fontId="46" fillId="15" borderId="22" xfId="0" applyFont="1" applyFill="1" applyBorder="1" applyAlignment="1" applyProtection="1">
      <alignment horizontal="right"/>
    </xf>
    <xf numFmtId="0" fontId="16" fillId="15" borderId="21" xfId="0" applyFont="1" applyFill="1" applyBorder="1" applyProtection="1"/>
    <xf numFmtId="0" fontId="16" fillId="15" borderId="0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vertical="center"/>
    </xf>
    <xf numFmtId="0" fontId="47" fillId="15" borderId="0" xfId="0" applyFont="1" applyFill="1" applyBorder="1" applyProtection="1"/>
    <xf numFmtId="0" fontId="46" fillId="15" borderId="0" xfId="0" applyNumberFormat="1" applyFont="1" applyFill="1" applyBorder="1" applyProtection="1"/>
    <xf numFmtId="0" fontId="46" fillId="15" borderId="22" xfId="0" applyFont="1" applyFill="1" applyBorder="1" applyProtection="1"/>
    <xf numFmtId="0" fontId="0" fillId="15" borderId="0" xfId="0" applyFill="1" applyBorder="1" applyProtection="1"/>
    <xf numFmtId="0" fontId="47" fillId="15" borderId="0" xfId="0" applyFont="1" applyFill="1" applyBorder="1" applyAlignment="1" applyProtection="1">
      <alignment horizontal="center"/>
    </xf>
    <xf numFmtId="0" fontId="0" fillId="15" borderId="0" xfId="0" applyFill="1" applyBorder="1" applyAlignment="1" applyProtection="1">
      <alignment horizontal="center"/>
    </xf>
    <xf numFmtId="0" fontId="16" fillId="0" borderId="0" xfId="0" applyFont="1" applyAlignment="1" applyProtection="1">
      <alignment horizontal="center" vertical="center"/>
    </xf>
    <xf numFmtId="0" fontId="16" fillId="15" borderId="0" xfId="0" applyFont="1" applyFill="1" applyBorder="1" applyAlignment="1" applyProtection="1">
      <alignment horizontal="left"/>
    </xf>
    <xf numFmtId="0" fontId="0" fillId="15" borderId="0" xfId="0" applyFill="1" applyBorder="1" applyAlignment="1" applyProtection="1">
      <alignment vertical="center"/>
    </xf>
    <xf numFmtId="0" fontId="51" fillId="15" borderId="0" xfId="0" applyFont="1" applyFill="1" applyBorder="1" applyProtection="1"/>
    <xf numFmtId="0" fontId="0" fillId="15" borderId="0" xfId="0" applyNumberFormat="1" applyFill="1" applyBorder="1" applyProtection="1"/>
    <xf numFmtId="0" fontId="0" fillId="15" borderId="22" xfId="0" applyFill="1" applyBorder="1" applyProtection="1"/>
    <xf numFmtId="0" fontId="45" fillId="15" borderId="21" xfId="0" applyFont="1" applyFill="1" applyBorder="1" applyProtection="1"/>
    <xf numFmtId="0" fontId="0" fillId="0" borderId="0" xfId="0" applyFill="1" applyProtection="1"/>
    <xf numFmtId="0" fontId="0" fillId="0" borderId="0" xfId="0" applyNumberFormat="1" applyProtection="1"/>
    <xf numFmtId="0" fontId="0" fillId="15" borderId="15" xfId="0" applyFill="1" applyBorder="1" applyProtection="1"/>
    <xf numFmtId="0" fontId="0" fillId="15" borderId="16" xfId="0" applyFill="1" applyBorder="1" applyProtection="1"/>
    <xf numFmtId="0" fontId="0" fillId="15" borderId="16" xfId="0" applyFill="1" applyBorder="1" applyAlignment="1" applyProtection="1">
      <alignment vertical="center"/>
    </xf>
    <xf numFmtId="0" fontId="0" fillId="15" borderId="16" xfId="0" applyNumberFormat="1" applyFill="1" applyBorder="1" applyProtection="1"/>
    <xf numFmtId="0" fontId="0" fillId="15" borderId="17" xfId="0" applyFill="1" applyBorder="1" applyProtection="1"/>
    <xf numFmtId="0" fontId="0" fillId="15" borderId="0" xfId="0" applyFill="1" applyProtection="1"/>
    <xf numFmtId="0" fontId="0" fillId="15" borderId="0" xfId="0" applyFill="1"/>
    <xf numFmtId="0" fontId="0" fillId="0" borderId="0" xfId="0" applyAlignment="1" applyProtection="1">
      <alignment vertical="center"/>
    </xf>
    <xf numFmtId="0" fontId="0" fillId="15" borderId="19" xfId="0" applyFill="1" applyBorder="1" applyProtection="1"/>
    <xf numFmtId="0" fontId="0" fillId="15" borderId="20" xfId="0" applyFill="1" applyBorder="1" applyProtection="1"/>
    <xf numFmtId="0" fontId="52" fillId="0" borderId="0" xfId="0" applyFont="1" applyAlignment="1">
      <alignment vertical="center"/>
    </xf>
    <xf numFmtId="0" fontId="53" fillId="0" borderId="26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0" fontId="53" fillId="0" borderId="26" xfId="0" applyFont="1" applyBorder="1" applyAlignment="1">
      <alignment horizontal="right" vertical="center"/>
    </xf>
    <xf numFmtId="0" fontId="53" fillId="0" borderId="5" xfId="0" applyFont="1" applyBorder="1" applyAlignment="1">
      <alignment horizontal="right" vertical="center"/>
    </xf>
    <xf numFmtId="0" fontId="53" fillId="0" borderId="27" xfId="0" applyFont="1" applyBorder="1" applyAlignment="1">
      <alignment horizontal="right" vertical="center"/>
    </xf>
    <xf numFmtId="0" fontId="53" fillId="0" borderId="3" xfId="0" applyFont="1" applyBorder="1" applyAlignment="1">
      <alignment horizontal="right" vertical="center"/>
    </xf>
    <xf numFmtId="175" fontId="54" fillId="16" borderId="23" xfId="0" applyNumberFormat="1" applyFont="1" applyFill="1" applyBorder="1" applyAlignment="1" applyProtection="1">
      <alignment horizontal="center" vertical="center"/>
      <protection locked="0"/>
    </xf>
    <xf numFmtId="1" fontId="54" fillId="16" borderId="23" xfId="0" applyNumberFormat="1" applyFont="1" applyFill="1" applyBorder="1" applyAlignment="1" applyProtection="1">
      <alignment horizontal="center" vertical="center"/>
      <protection locked="0"/>
    </xf>
    <xf numFmtId="0" fontId="54" fillId="16" borderId="23" xfId="0" applyFont="1" applyFill="1" applyBorder="1" applyAlignment="1" applyProtection="1">
      <alignment horizontal="center" vertical="center"/>
      <protection locked="0"/>
    </xf>
    <xf numFmtId="0" fontId="16" fillId="15" borderId="16" xfId="0" applyFont="1" applyFill="1" applyBorder="1" applyAlignment="1" applyProtection="1">
      <alignment vertical="center"/>
    </xf>
    <xf numFmtId="0" fontId="47" fillId="15" borderId="16" xfId="0" applyFont="1" applyFill="1" applyBorder="1" applyProtection="1"/>
    <xf numFmtId="0" fontId="46" fillId="15" borderId="16" xfId="0" applyNumberFormat="1" applyFont="1" applyFill="1" applyBorder="1" applyProtection="1"/>
    <xf numFmtId="0" fontId="46" fillId="15" borderId="17" xfId="0" applyFont="1" applyFill="1" applyBorder="1" applyProtection="1"/>
    <xf numFmtId="0" fontId="45" fillId="15" borderId="0" xfId="0" applyFont="1" applyFill="1" applyBorder="1" applyAlignment="1" applyProtection="1">
      <alignment horizontal="center"/>
    </xf>
    <xf numFmtId="0" fontId="45" fillId="15" borderId="21" xfId="0" applyFont="1" applyFill="1" applyBorder="1" applyAlignment="1" applyProtection="1">
      <alignment horizontal="left"/>
    </xf>
    <xf numFmtId="0" fontId="9" fillId="2" borderId="0" xfId="1" applyNumberFormat="1" applyFill="1" applyAlignment="1" applyProtection="1">
      <alignment wrapText="1"/>
      <protection locked="0"/>
    </xf>
    <xf numFmtId="0" fontId="55" fillId="15" borderId="21" xfId="0" applyFont="1" applyFill="1" applyBorder="1" applyProtection="1"/>
    <xf numFmtId="0" fontId="0" fillId="0" borderId="22" xfId="0" applyBorder="1" applyProtection="1"/>
    <xf numFmtId="0" fontId="56" fillId="15" borderId="0" xfId="0" applyFont="1" applyFill="1" applyBorder="1" applyProtection="1"/>
    <xf numFmtId="0" fontId="56" fillId="15" borderId="0" xfId="0" applyNumberFormat="1" applyFont="1" applyFill="1" applyBorder="1" applyProtection="1"/>
    <xf numFmtId="0" fontId="56" fillId="15" borderId="22" xfId="0" applyFont="1" applyFill="1" applyBorder="1" applyProtection="1"/>
    <xf numFmtId="0" fontId="54" fillId="15" borderId="0" xfId="0" applyFont="1" applyFill="1" applyBorder="1" applyAlignment="1" applyProtection="1">
      <alignment horizontal="center"/>
      <protection locked="0"/>
    </xf>
    <xf numFmtId="0" fontId="50" fillId="15" borderId="0" xfId="0" applyFont="1" applyFill="1" applyBorder="1" applyProtection="1"/>
    <xf numFmtId="2" fontId="49" fillId="15" borderId="0" xfId="0" applyNumberFormat="1" applyFont="1" applyFill="1" applyBorder="1" applyAlignment="1" applyProtection="1">
      <alignment horizontal="left"/>
    </xf>
    <xf numFmtId="0" fontId="50" fillId="15" borderId="0" xfId="0" applyNumberFormat="1" applyFont="1" applyFill="1" applyBorder="1" applyProtection="1"/>
    <xf numFmtId="0" fontId="49" fillId="15" borderId="21" xfId="0" applyFont="1" applyFill="1" applyBorder="1"/>
    <xf numFmtId="0" fontId="50" fillId="15" borderId="22" xfId="0" applyFont="1" applyFill="1" applyBorder="1" applyProtection="1"/>
    <xf numFmtId="175" fontId="9" fillId="14" borderId="0" xfId="1" applyNumberFormat="1" applyFont="1" applyFill="1" applyAlignment="1" applyProtection="1">
      <alignment wrapText="1"/>
      <protection locked="0"/>
    </xf>
    <xf numFmtId="9" fontId="0" fillId="0" borderId="0" xfId="2" applyFont="1" applyFill="1"/>
    <xf numFmtId="0" fontId="0" fillId="0" borderId="21" xfId="0" applyBorder="1" applyProtection="1"/>
    <xf numFmtId="0" fontId="16" fillId="15" borderId="18" xfId="0" applyFont="1" applyFill="1" applyBorder="1" applyProtection="1"/>
    <xf numFmtId="0" fontId="16" fillId="15" borderId="19" xfId="0" applyFont="1" applyFill="1" applyBorder="1" applyProtection="1"/>
    <xf numFmtId="0" fontId="0" fillId="0" borderId="19" xfId="0" applyBorder="1" applyProtection="1"/>
    <xf numFmtId="0" fontId="0" fillId="15" borderId="19" xfId="0" applyNumberFormat="1" applyFill="1" applyBorder="1" applyProtection="1"/>
    <xf numFmtId="0" fontId="0" fillId="15" borderId="18" xfId="0" applyFill="1" applyBorder="1" applyProtection="1"/>
    <xf numFmtId="2" fontId="54" fillId="17" borderId="23" xfId="0" applyNumberFormat="1" applyFont="1" applyFill="1" applyBorder="1" applyAlignment="1" applyProtection="1">
      <alignment horizontal="center"/>
    </xf>
    <xf numFmtId="1" fontId="54" fillId="17" borderId="23" xfId="0" applyNumberFormat="1" applyFont="1" applyFill="1" applyBorder="1" applyAlignment="1" applyProtection="1">
      <alignment horizontal="center"/>
    </xf>
    <xf numFmtId="175" fontId="54" fillId="17" borderId="23" xfId="0" applyNumberFormat="1" applyFont="1" applyFill="1" applyBorder="1" applyAlignment="1" applyProtection="1">
      <alignment horizontal="center"/>
    </xf>
    <xf numFmtId="0" fontId="0" fillId="17" borderId="0" xfId="0" applyFill="1" applyProtection="1"/>
    <xf numFmtId="0" fontId="0" fillId="16" borderId="0" xfId="0" applyFill="1" applyProtection="1"/>
    <xf numFmtId="0" fontId="59" fillId="0" borderId="4" xfId="0" applyFont="1" applyBorder="1" applyAlignment="1">
      <alignment vertical="center" wrapText="1"/>
    </xf>
    <xf numFmtId="0" fontId="58" fillId="0" borderId="5" xfId="0" applyFont="1" applyBorder="1" applyAlignment="1">
      <alignment vertical="center" wrapText="1"/>
    </xf>
    <xf numFmtId="0" fontId="58" fillId="0" borderId="30" xfId="0" applyFont="1" applyBorder="1" applyAlignment="1">
      <alignment vertical="center" wrapText="1"/>
    </xf>
    <xf numFmtId="0" fontId="58" fillId="0" borderId="4" xfId="0" applyFont="1" applyBorder="1" applyAlignment="1">
      <alignment vertical="center" wrapText="1"/>
    </xf>
    <xf numFmtId="0" fontId="58" fillId="0" borderId="3" xfId="0" applyFont="1" applyBorder="1" applyAlignment="1">
      <alignment vertical="center" wrapText="1"/>
    </xf>
    <xf numFmtId="0" fontId="36" fillId="0" borderId="37" xfId="0" applyFont="1" applyBorder="1" applyAlignment="1">
      <alignment vertical="center" wrapText="1"/>
    </xf>
    <xf numFmtId="9" fontId="36" fillId="19" borderId="38" xfId="0" applyNumberFormat="1" applyFont="1" applyFill="1" applyBorder="1" applyAlignment="1">
      <alignment horizontal="right" vertical="center" wrapText="1"/>
    </xf>
    <xf numFmtId="9" fontId="36" fillId="0" borderId="35" xfId="0" applyNumberFormat="1" applyFont="1" applyBorder="1" applyAlignment="1">
      <alignment horizontal="right" vertical="center" wrapText="1"/>
    </xf>
    <xf numFmtId="0" fontId="5" fillId="19" borderId="38" xfId="0" applyFont="1" applyFill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187" fontId="9" fillId="0" borderId="0" xfId="1" applyNumberFormat="1" applyAlignment="1">
      <alignment horizontal="right"/>
    </xf>
    <xf numFmtId="188" fontId="36" fillId="0" borderId="0" xfId="0" applyNumberFormat="1" applyFont="1" applyBorder="1"/>
    <xf numFmtId="189" fontId="9" fillId="0" borderId="0" xfId="1" applyNumberFormat="1" applyAlignment="1">
      <alignment wrapText="1"/>
    </xf>
    <xf numFmtId="1" fontId="0" fillId="0" borderId="0" xfId="0" applyNumberFormat="1"/>
    <xf numFmtId="0" fontId="57" fillId="20" borderId="0" xfId="0" applyFont="1" applyFill="1" applyProtection="1"/>
    <xf numFmtId="0" fontId="61" fillId="16" borderId="0" xfId="0" applyFont="1" applyFill="1" applyProtection="1"/>
    <xf numFmtId="0" fontId="62" fillId="0" borderId="0" xfId="0" applyFont="1" applyProtection="1"/>
    <xf numFmtId="0" fontId="61" fillId="17" borderId="0" xfId="0" applyFont="1" applyFill="1" applyProtection="1"/>
    <xf numFmtId="0" fontId="63" fillId="0" borderId="0" xfId="0" applyFont="1" applyProtection="1"/>
    <xf numFmtId="49" fontId="0" fillId="0" borderId="0" xfId="0" applyNumberFormat="1"/>
    <xf numFmtId="49" fontId="54" fillId="16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90" fontId="0" fillId="0" borderId="0" xfId="0" applyNumberFormat="1"/>
    <xf numFmtId="175" fontId="54" fillId="20" borderId="23" xfId="0" applyNumberFormat="1" applyFont="1" applyFill="1" applyBorder="1" applyAlignment="1" applyProtection="1">
      <alignment horizontal="center" vertical="center"/>
      <protection locked="0"/>
    </xf>
    <xf numFmtId="0" fontId="61" fillId="20" borderId="0" xfId="0" applyFont="1" applyFill="1" applyProtection="1"/>
    <xf numFmtId="0" fontId="0" fillId="21" borderId="0" xfId="0" applyFill="1" applyProtection="1"/>
    <xf numFmtId="191" fontId="9" fillId="0" borderId="0" xfId="1" applyNumberFormat="1" applyFont="1" applyAlignment="1">
      <alignment horizontal="right" wrapText="1"/>
    </xf>
    <xf numFmtId="0" fontId="0" fillId="3" borderId="18" xfId="0" applyFill="1" applyBorder="1"/>
    <xf numFmtId="0" fontId="0" fillId="3" borderId="0" xfId="0" applyFill="1" applyBorder="1"/>
    <xf numFmtId="0" fontId="0" fillId="3" borderId="22" xfId="0" applyFill="1" applyBorder="1"/>
    <xf numFmtId="0" fontId="0" fillId="3" borderId="20" xfId="0" applyFill="1" applyBorder="1"/>
    <xf numFmtId="0" fontId="0" fillId="3" borderId="23" xfId="0" applyFill="1" applyBorder="1"/>
    <xf numFmtId="0" fontId="47" fillId="15" borderId="0" xfId="0" applyFont="1" applyFill="1" applyProtection="1"/>
    <xf numFmtId="0" fontId="9" fillId="0" borderId="0" xfId="1" quotePrefix="1" applyFont="1" applyAlignment="1">
      <alignment horizontal="right" wrapText="1"/>
    </xf>
    <xf numFmtId="9" fontId="9" fillId="0" borderId="0" xfId="1" applyNumberFormat="1" applyAlignment="1">
      <alignment horizontal="right" wrapText="1"/>
    </xf>
    <xf numFmtId="192" fontId="9" fillId="0" borderId="0" xfId="1" applyNumberFormat="1" applyAlignment="1">
      <alignment wrapText="1"/>
    </xf>
    <xf numFmtId="0" fontId="36" fillId="0" borderId="25" xfId="0" applyFont="1" applyBorder="1" applyAlignment="1">
      <alignment vertical="center" wrapText="1"/>
    </xf>
    <xf numFmtId="0" fontId="36" fillId="0" borderId="40" xfId="0" applyFont="1" applyBorder="1" applyAlignment="1">
      <alignment vertical="center" wrapText="1"/>
    </xf>
    <xf numFmtId="0" fontId="36" fillId="18" borderId="41" xfId="0" applyFont="1" applyFill="1" applyBorder="1" applyAlignment="1">
      <alignment vertical="center" wrapText="1"/>
    </xf>
    <xf numFmtId="0" fontId="0" fillId="0" borderId="42" xfId="0" applyBorder="1"/>
    <xf numFmtId="0" fontId="0" fillId="0" borderId="9" xfId="0" applyBorder="1"/>
    <xf numFmtId="0" fontId="5" fillId="0" borderId="24" xfId="0" applyFont="1" applyBorder="1" applyAlignment="1">
      <alignment vertical="center" wrapText="1"/>
    </xf>
    <xf numFmtId="9" fontId="36" fillId="19" borderId="8" xfId="0" applyNumberFormat="1" applyFont="1" applyFill="1" applyBorder="1" applyAlignment="1">
      <alignment horizontal="right" vertical="center" wrapText="1"/>
    </xf>
    <xf numFmtId="1" fontId="36" fillId="0" borderId="33" xfId="0" applyNumberFormat="1" applyFont="1" applyBorder="1" applyAlignment="1">
      <alignment horizontal="right" vertical="center" wrapText="1"/>
    </xf>
    <xf numFmtId="1" fontId="36" fillId="18" borderId="36" xfId="0" applyNumberFormat="1" applyFont="1" applyFill="1" applyBorder="1" applyAlignment="1">
      <alignment vertical="center" wrapText="1"/>
    </xf>
    <xf numFmtId="1" fontId="5" fillId="18" borderId="36" xfId="0" applyNumberFormat="1" applyFont="1" applyFill="1" applyBorder="1" applyAlignment="1">
      <alignment vertical="center" wrapText="1"/>
    </xf>
    <xf numFmtId="0" fontId="36" fillId="0" borderId="43" xfId="0" applyFont="1" applyBorder="1" applyAlignment="1">
      <alignment vertical="center" wrapText="1"/>
    </xf>
    <xf numFmtId="9" fontId="60" fillId="19" borderId="44" xfId="0" applyNumberFormat="1" applyFont="1" applyFill="1" applyBorder="1" applyAlignment="1">
      <alignment horizontal="right" vertical="center" wrapText="1"/>
    </xf>
    <xf numFmtId="1" fontId="36" fillId="0" borderId="32" xfId="0" applyNumberFormat="1" applyFont="1" applyBorder="1" applyAlignment="1">
      <alignment horizontal="right" vertical="center" wrapText="1"/>
    </xf>
    <xf numFmtId="9" fontId="36" fillId="0" borderId="34" xfId="0" applyNumberFormat="1" applyFont="1" applyBorder="1" applyAlignment="1">
      <alignment horizontal="right" vertical="center" wrapText="1"/>
    </xf>
    <xf numFmtId="1" fontId="36" fillId="18" borderId="34" xfId="0" applyNumberFormat="1" applyFont="1" applyFill="1" applyBorder="1" applyAlignment="1">
      <alignment vertical="center" wrapText="1"/>
    </xf>
    <xf numFmtId="0" fontId="32" fillId="0" borderId="39" xfId="0" applyFont="1" applyBorder="1" applyAlignment="1">
      <alignment horizontal="right" vertical="center" wrapText="1"/>
    </xf>
    <xf numFmtId="0" fontId="5" fillId="0" borderId="25" xfId="0" applyFont="1" applyBorder="1" applyAlignment="1">
      <alignment vertical="center" wrapText="1"/>
    </xf>
    <xf numFmtId="1" fontId="32" fillId="0" borderId="25" xfId="0" applyNumberFormat="1" applyFont="1" applyBorder="1" applyAlignment="1">
      <alignment horizontal="right" vertical="center" wrapText="1"/>
    </xf>
    <xf numFmtId="1" fontId="5" fillId="0" borderId="25" xfId="0" applyNumberFormat="1" applyFont="1" applyBorder="1" applyAlignment="1">
      <alignment horizontal="left" vertical="center" wrapText="1"/>
    </xf>
    <xf numFmtId="9" fontId="0" fillId="0" borderId="9" xfId="2" applyFont="1" applyBorder="1"/>
    <xf numFmtId="0" fontId="65" fillId="0" borderId="0" xfId="0" applyFont="1"/>
    <xf numFmtId="0" fontId="36" fillId="0" borderId="0" xfId="0" applyFont="1" applyFill="1" applyBorder="1" applyAlignment="1">
      <alignment vertical="center" wrapText="1"/>
    </xf>
    <xf numFmtId="177" fontId="0" fillId="0" borderId="0" xfId="0" applyNumberFormat="1"/>
    <xf numFmtId="185" fontId="38" fillId="0" borderId="0" xfId="8" applyNumberFormat="1" applyFont="1" applyFill="1"/>
    <xf numFmtId="0" fontId="9" fillId="0" borderId="0" xfId="1" applyFont="1" applyAlignment="1">
      <alignment horizontal="right" wrapText="1"/>
    </xf>
    <xf numFmtId="166" fontId="9" fillId="0" borderId="0" xfId="1" applyNumberFormat="1" applyAlignment="1">
      <alignment wrapText="1"/>
    </xf>
    <xf numFmtId="0" fontId="70" fillId="0" borderId="0" xfId="0" applyFont="1"/>
    <xf numFmtId="0" fontId="0" fillId="0" borderId="0" xfId="0" applyAlignment="1">
      <alignment wrapText="1"/>
    </xf>
    <xf numFmtId="0" fontId="71" fillId="0" borderId="0" xfId="0" applyFont="1"/>
    <xf numFmtId="0" fontId="0" fillId="3" borderId="45" xfId="0" applyFill="1" applyBorder="1"/>
    <xf numFmtId="0" fontId="0" fillId="3" borderId="46" xfId="0" applyFill="1" applyBorder="1"/>
    <xf numFmtId="0" fontId="0" fillId="3" borderId="47" xfId="0" applyFill="1" applyBorder="1"/>
    <xf numFmtId="0" fontId="0" fillId="3" borderId="48" xfId="0" applyFill="1" applyBorder="1"/>
    <xf numFmtId="0" fontId="25" fillId="3" borderId="22" xfId="0" applyFont="1" applyFill="1" applyBorder="1" applyAlignment="1">
      <alignment horizontal="right"/>
    </xf>
    <xf numFmtId="193" fontId="0" fillId="0" borderId="0" xfId="0" applyNumberFormat="1" applyAlignment="1">
      <alignment horizontal="right"/>
    </xf>
    <xf numFmtId="0" fontId="10" fillId="0" borderId="0" xfId="1" quotePrefix="1" applyFont="1" applyAlignment="1">
      <alignment wrapText="1"/>
    </xf>
    <xf numFmtId="9" fontId="0" fillId="0" borderId="0" xfId="0" quotePrefix="1" applyNumberFormat="1"/>
    <xf numFmtId="0" fontId="0" fillId="0" borderId="0" xfId="0" quotePrefix="1"/>
    <xf numFmtId="175" fontId="54" fillId="20" borderId="23" xfId="0" quotePrefix="1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right"/>
    </xf>
    <xf numFmtId="49" fontId="0" fillId="2" borderId="0" xfId="0" applyNumberFormat="1" applyFill="1" applyAlignment="1">
      <alignment horizontal="right"/>
    </xf>
    <xf numFmtId="186" fontId="7" fillId="0" borderId="0" xfId="0" applyNumberFormat="1" applyFont="1"/>
    <xf numFmtId="164" fontId="9" fillId="0" borderId="0" xfId="7" applyNumberFormat="1" applyFont="1" applyAlignment="1">
      <alignment horizontal="center" wrapText="1"/>
    </xf>
    <xf numFmtId="9" fontId="9" fillId="0" borderId="0" xfId="2" applyFont="1" applyAlignment="1">
      <alignment wrapText="1"/>
    </xf>
    <xf numFmtId="183" fontId="9" fillId="0" borderId="0" xfId="1" applyNumberFormat="1" applyAlignment="1">
      <alignment wrapText="1"/>
    </xf>
    <xf numFmtId="0" fontId="35" fillId="0" borderId="49" xfId="0" applyFont="1" applyBorder="1" applyAlignment="1">
      <alignment vertical="top" wrapText="1"/>
    </xf>
    <xf numFmtId="186" fontId="0" fillId="0" borderId="0" xfId="0" applyNumberFormat="1"/>
    <xf numFmtId="0" fontId="0" fillId="15" borderId="45" xfId="0" applyFill="1" applyBorder="1" applyProtection="1"/>
    <xf numFmtId="0" fontId="72" fillId="0" borderId="0" xfId="0" applyFont="1" applyFill="1"/>
    <xf numFmtId="175" fontId="72" fillId="0" borderId="0" xfId="0" applyNumberFormat="1" applyFont="1" applyFill="1"/>
    <xf numFmtId="175" fontId="9" fillId="0" borderId="0" xfId="1" applyNumberFormat="1" applyFont="1" applyFill="1" applyAlignment="1" applyProtection="1">
      <alignment wrapText="1"/>
      <protection locked="0"/>
    </xf>
    <xf numFmtId="49" fontId="0" fillId="0" borderId="0" xfId="0" applyNumberFormat="1" applyFill="1" applyAlignment="1">
      <alignment horizontal="right"/>
    </xf>
    <xf numFmtId="0" fontId="28" fillId="0" borderId="0" xfId="0" applyFont="1" applyAlignment="1">
      <alignment horizontal="right"/>
    </xf>
    <xf numFmtId="0" fontId="42" fillId="0" borderId="0" xfId="0" applyFont="1" applyFill="1" applyBorder="1" applyAlignment="1">
      <alignment vertical="top" wrapText="1"/>
    </xf>
    <xf numFmtId="0" fontId="0" fillId="3" borderId="0" xfId="0" applyFont="1" applyFill="1"/>
    <xf numFmtId="0" fontId="71" fillId="3" borderId="0" xfId="0" applyFont="1" applyFill="1" applyBorder="1" applyAlignment="1">
      <alignment vertical="top" wrapText="1"/>
    </xf>
    <xf numFmtId="183" fontId="9" fillId="0" borderId="0" xfId="1" applyNumberFormat="1" applyFont="1" applyAlignment="1">
      <alignment horizontal="right" wrapText="1"/>
    </xf>
    <xf numFmtId="49" fontId="0" fillId="0" borderId="0" xfId="0" quotePrefix="1" applyNumberFormat="1" applyAlignment="1">
      <alignment horizontal="right"/>
    </xf>
    <xf numFmtId="49" fontId="0" fillId="0" borderId="0" xfId="0" quotePrefix="1" applyNumberFormat="1" applyFill="1" applyAlignment="1">
      <alignment horizontal="right"/>
    </xf>
    <xf numFmtId="49" fontId="0" fillId="2" borderId="0" xfId="0" quotePrefix="1" applyNumberFormat="1" applyFill="1" applyAlignment="1">
      <alignment horizontal="right"/>
    </xf>
    <xf numFmtId="9" fontId="25" fillId="0" borderId="0" xfId="2" applyFont="1"/>
    <xf numFmtId="175" fontId="25" fillId="0" borderId="0" xfId="0" applyNumberFormat="1" applyFont="1"/>
    <xf numFmtId="0" fontId="73" fillId="0" borderId="0" xfId="0" applyFont="1"/>
    <xf numFmtId="0" fontId="71" fillId="0" borderId="0" xfId="0" applyFont="1" applyAlignment="1">
      <alignment wrapText="1"/>
    </xf>
    <xf numFmtId="9" fontId="71" fillId="0" borderId="0" xfId="2" applyFont="1" applyAlignment="1">
      <alignment horizontal="right" wrapText="1"/>
    </xf>
    <xf numFmtId="9" fontId="71" fillId="0" borderId="0" xfId="2" applyFont="1" applyAlignment="1">
      <alignment horizontal="right"/>
    </xf>
    <xf numFmtId="9" fontId="71" fillId="0" borderId="0" xfId="2" applyFont="1"/>
    <xf numFmtId="9" fontId="71" fillId="0" borderId="0" xfId="0" applyNumberFormat="1" applyFont="1"/>
    <xf numFmtId="175" fontId="71" fillId="0" borderId="0" xfId="0" applyNumberFormat="1" applyFont="1"/>
    <xf numFmtId="2" fontId="71" fillId="0" borderId="0" xfId="0" applyNumberFormat="1" applyFont="1"/>
    <xf numFmtId="1" fontId="71" fillId="0" borderId="0" xfId="0" applyNumberFormat="1" applyFont="1"/>
    <xf numFmtId="0" fontId="71" fillId="0" borderId="0" xfId="0" applyFont="1" applyAlignment="1">
      <alignment horizontal="right" wrapText="1"/>
    </xf>
    <xf numFmtId="1" fontId="71" fillId="0" borderId="0" xfId="2" applyNumberFormat="1" applyFont="1" applyAlignment="1">
      <alignment horizontal="right"/>
    </xf>
    <xf numFmtId="0" fontId="71" fillId="0" borderId="0" xfId="2" applyNumberFormat="1" applyFont="1"/>
    <xf numFmtId="1" fontId="71" fillId="0" borderId="0" xfId="2" applyNumberFormat="1" applyFont="1"/>
    <xf numFmtId="10" fontId="71" fillId="0" borderId="0" xfId="0" applyNumberFormat="1" applyFont="1"/>
    <xf numFmtId="196" fontId="9" fillId="0" borderId="0" xfId="1" applyNumberFormat="1" applyAlignment="1">
      <alignment horizontal="right"/>
    </xf>
    <xf numFmtId="0" fontId="16" fillId="15" borderId="45" xfId="0" applyFont="1" applyFill="1" applyBorder="1" applyProtection="1"/>
    <xf numFmtId="174" fontId="9" fillId="0" borderId="0" xfId="1" applyNumberFormat="1" applyFill="1" applyAlignment="1">
      <alignment wrapText="1"/>
    </xf>
    <xf numFmtId="171" fontId="9" fillId="24" borderId="0" xfId="1" applyNumberFormat="1" applyFill="1" applyAlignment="1">
      <alignment wrapText="1"/>
    </xf>
    <xf numFmtId="9" fontId="9" fillId="25" borderId="0" xfId="1" applyNumberFormat="1" applyFill="1" applyAlignment="1">
      <alignment wrapText="1"/>
    </xf>
    <xf numFmtId="0" fontId="25" fillId="25" borderId="0" xfId="0" applyFont="1" applyFill="1"/>
    <xf numFmtId="0" fontId="0" fillId="24" borderId="0" xfId="0" applyFill="1"/>
    <xf numFmtId="175" fontId="9" fillId="25" borderId="0" xfId="1" applyNumberFormat="1" applyFont="1" applyFill="1" applyAlignment="1">
      <alignment wrapText="1"/>
    </xf>
    <xf numFmtId="195" fontId="0" fillId="24" borderId="0" xfId="0" applyNumberFormat="1" applyFill="1" applyAlignment="1">
      <alignment horizontal="right"/>
    </xf>
    <xf numFmtId="167" fontId="9" fillId="26" borderId="0" xfId="1" applyNumberFormat="1" applyFont="1" applyFill="1" applyAlignment="1">
      <alignment wrapText="1"/>
    </xf>
    <xf numFmtId="0" fontId="0" fillId="26" borderId="0" xfId="0" applyFill="1"/>
    <xf numFmtId="9" fontId="9" fillId="0" borderId="0" xfId="2" applyFont="1" applyAlignment="1">
      <alignment horizontal="right" wrapText="1"/>
    </xf>
    <xf numFmtId="185" fontId="9" fillId="27" borderId="0" xfId="1" applyNumberFormat="1" applyFill="1" applyAlignment="1">
      <alignment wrapText="1"/>
    </xf>
    <xf numFmtId="175" fontId="9" fillId="27" borderId="0" xfId="1" applyNumberFormat="1" applyFont="1" applyFill="1" applyAlignment="1">
      <alignment wrapText="1"/>
    </xf>
    <xf numFmtId="185" fontId="38" fillId="27" borderId="0" xfId="8" applyNumberFormat="1" applyFont="1" applyFill="1"/>
    <xf numFmtId="0" fontId="68" fillId="27" borderId="0" xfId="0" applyFont="1" applyFill="1"/>
    <xf numFmtId="0" fontId="74" fillId="15" borderId="21" xfId="0" applyFont="1" applyFill="1" applyBorder="1" applyProtection="1"/>
    <xf numFmtId="0" fontId="75" fillId="15" borderId="21" xfId="0" applyFont="1" applyFill="1" applyBorder="1" applyProtection="1"/>
    <xf numFmtId="185" fontId="9" fillId="27" borderId="0" xfId="2" applyNumberFormat="1" applyFont="1" applyFill="1" applyAlignment="1">
      <alignment wrapText="1"/>
    </xf>
    <xf numFmtId="197" fontId="9" fillId="0" borderId="0" xfId="1" applyNumberFormat="1" applyFont="1" applyAlignment="1">
      <alignment horizontal="right" wrapText="1"/>
    </xf>
    <xf numFmtId="185" fontId="0" fillId="0" borderId="0" xfId="2" applyNumberFormat="1" applyFont="1"/>
    <xf numFmtId="2" fontId="54" fillId="20" borderId="23" xfId="2" applyNumberFormat="1" applyFont="1" applyFill="1" applyBorder="1" applyAlignment="1" applyProtection="1">
      <alignment horizontal="center" vertical="center"/>
      <protection locked="0"/>
    </xf>
    <xf numFmtId="0" fontId="4" fillId="0" borderId="0" xfId="20"/>
    <xf numFmtId="0" fontId="4" fillId="9" borderId="26" xfId="20" applyFill="1" applyBorder="1"/>
    <xf numFmtId="0" fontId="4" fillId="9" borderId="30" xfId="20" applyFill="1" applyBorder="1"/>
    <xf numFmtId="0" fontId="4" fillId="9" borderId="0" xfId="20" applyFill="1" applyBorder="1" applyAlignment="1">
      <alignment horizontal="left" vertical="top" wrapText="1"/>
    </xf>
    <xf numFmtId="0" fontId="4" fillId="9" borderId="0" xfId="20" applyFill="1" applyBorder="1"/>
    <xf numFmtId="0" fontId="36" fillId="28" borderId="51" xfId="20" applyFont="1" applyFill="1" applyBorder="1" applyAlignment="1">
      <alignment horizontal="right" wrapText="1"/>
    </xf>
    <xf numFmtId="0" fontId="32" fillId="15" borderId="26" xfId="20" applyFont="1" applyFill="1" applyBorder="1"/>
    <xf numFmtId="0" fontId="32" fillId="15" borderId="0" xfId="20" applyFont="1" applyFill="1" applyBorder="1"/>
    <xf numFmtId="0" fontId="4" fillId="15" borderId="0" xfId="20" applyFill="1" applyBorder="1"/>
    <xf numFmtId="0" fontId="36" fillId="15" borderId="51" xfId="20" applyFont="1" applyFill="1" applyBorder="1" applyAlignment="1" applyProtection="1">
      <alignment horizontal="right"/>
      <protection locked="0"/>
    </xf>
    <xf numFmtId="175" fontId="77" fillId="29" borderId="51" xfId="20" applyNumberFormat="1" applyFont="1" applyFill="1" applyBorder="1" applyAlignment="1">
      <alignment horizontal="right"/>
    </xf>
    <xf numFmtId="0" fontId="32" fillId="15" borderId="27" xfId="20" applyFont="1" applyFill="1" applyBorder="1"/>
    <xf numFmtId="0" fontId="32" fillId="15" borderId="52" xfId="20" applyFont="1" applyFill="1" applyBorder="1"/>
    <xf numFmtId="0" fontId="4" fillId="15" borderId="52" xfId="20" applyFill="1" applyBorder="1"/>
    <xf numFmtId="175" fontId="77" fillId="30" borderId="3" xfId="20" applyNumberFormat="1" applyFont="1" applyFill="1" applyBorder="1" applyAlignment="1">
      <alignment horizontal="right"/>
    </xf>
    <xf numFmtId="0" fontId="4" fillId="9" borderId="27" xfId="20" applyFill="1" applyBorder="1"/>
    <xf numFmtId="0" fontId="4" fillId="9" borderId="52" xfId="20" applyFill="1" applyBorder="1"/>
    <xf numFmtId="0" fontId="4" fillId="9" borderId="4" xfId="20" applyFill="1" applyBorder="1"/>
    <xf numFmtId="0" fontId="36" fillId="0" borderId="0" xfId="20" applyFont="1"/>
    <xf numFmtId="0" fontId="36" fillId="0" borderId="53" xfId="20" applyFont="1" applyBorder="1"/>
    <xf numFmtId="0" fontId="36" fillId="0" borderId="54" xfId="20" applyFont="1" applyBorder="1"/>
    <xf numFmtId="0" fontId="36" fillId="0" borderId="55" xfId="20" applyFont="1" applyBorder="1"/>
    <xf numFmtId="0" fontId="36" fillId="0" borderId="26" xfId="20" applyFont="1" applyBorder="1"/>
    <xf numFmtId="0" fontId="36" fillId="0" borderId="30" xfId="20" applyFont="1" applyBorder="1"/>
    <xf numFmtId="0" fontId="77" fillId="0" borderId="0" xfId="20" applyFont="1" applyBorder="1"/>
    <xf numFmtId="0" fontId="78" fillId="0" borderId="0" xfId="20" applyFont="1" applyBorder="1"/>
    <xf numFmtId="0" fontId="79" fillId="0" borderId="0" xfId="20" applyFont="1" applyBorder="1"/>
    <xf numFmtId="0" fontId="4" fillId="0" borderId="0" xfId="20" applyAlignment="1">
      <alignment wrapText="1"/>
    </xf>
    <xf numFmtId="0" fontId="36" fillId="0" borderId="0" xfId="20" applyFont="1" applyBorder="1"/>
    <xf numFmtId="0" fontId="32" fillId="0" borderId="0" xfId="20" applyFont="1" applyBorder="1"/>
    <xf numFmtId="0" fontId="35" fillId="28" borderId="53" xfId="20" applyFont="1" applyFill="1" applyBorder="1"/>
    <xf numFmtId="0" fontId="36" fillId="28" borderId="54" xfId="20" applyFont="1" applyFill="1" applyBorder="1"/>
    <xf numFmtId="0" fontId="36" fillId="28" borderId="54" xfId="20" applyFont="1" applyFill="1" applyBorder="1" applyAlignment="1">
      <alignment horizontal="right"/>
    </xf>
    <xf numFmtId="0" fontId="35" fillId="15" borderId="56" xfId="20" applyFont="1" applyFill="1" applyBorder="1" applyAlignment="1" applyProtection="1">
      <alignment horizontal="center" vertical="center"/>
      <protection locked="0"/>
    </xf>
    <xf numFmtId="49" fontId="35" fillId="15" borderId="57" xfId="20" applyNumberFormat="1" applyFont="1" applyFill="1" applyBorder="1" applyAlignment="1" applyProtection="1">
      <alignment horizontal="center" vertical="center"/>
      <protection locked="0"/>
    </xf>
    <xf numFmtId="0" fontId="36" fillId="28" borderId="26" xfId="20" applyFont="1" applyFill="1" applyBorder="1"/>
    <xf numFmtId="0" fontId="36" fillId="28" borderId="0" xfId="20" applyFont="1" applyFill="1" applyBorder="1"/>
    <xf numFmtId="0" fontId="36" fillId="28" borderId="0" xfId="20" applyFont="1" applyFill="1" applyBorder="1" applyAlignment="1">
      <alignment horizontal="right"/>
    </xf>
    <xf numFmtId="0" fontId="35" fillId="15" borderId="57" xfId="20" applyFont="1" applyFill="1" applyBorder="1" applyAlignment="1" applyProtection="1">
      <alignment horizontal="center" vertical="center"/>
      <protection locked="0"/>
    </xf>
    <xf numFmtId="0" fontId="35" fillId="28" borderId="26" xfId="20" applyFont="1" applyFill="1" applyBorder="1"/>
    <xf numFmtId="175" fontId="35" fillId="29" borderId="57" xfId="20" applyNumberFormat="1" applyFont="1" applyFill="1" applyBorder="1" applyAlignment="1" applyProtection="1">
      <alignment horizontal="center" vertical="center"/>
      <protection locked="0"/>
    </xf>
    <xf numFmtId="0" fontId="36" fillId="28" borderId="27" xfId="20" applyFont="1" applyFill="1" applyBorder="1"/>
    <xf numFmtId="0" fontId="36" fillId="28" borderId="52" xfId="20" applyFont="1" applyFill="1" applyBorder="1"/>
    <xf numFmtId="0" fontId="36" fillId="28" borderId="52" xfId="20" applyFont="1" applyFill="1" applyBorder="1" applyAlignment="1">
      <alignment horizontal="right"/>
    </xf>
    <xf numFmtId="175" fontId="35" fillId="28" borderId="58" xfId="20" applyNumberFormat="1" applyFont="1" applyFill="1" applyBorder="1" applyAlignment="1" applyProtection="1">
      <alignment horizontal="center" vertical="center"/>
    </xf>
    <xf numFmtId="175" fontId="35" fillId="30" borderId="51" xfId="20" applyNumberFormat="1" applyFont="1" applyFill="1" applyBorder="1" applyAlignment="1" applyProtection="1">
      <alignment horizontal="center" vertical="center"/>
    </xf>
    <xf numFmtId="0" fontId="36" fillId="28" borderId="53" xfId="20" applyFont="1" applyFill="1" applyBorder="1"/>
    <xf numFmtId="175" fontId="35" fillId="29" borderId="56" xfId="20" applyNumberFormat="1" applyFont="1" applyFill="1" applyBorder="1" applyAlignment="1" applyProtection="1">
      <alignment horizontal="center" vertical="center"/>
    </xf>
    <xf numFmtId="175" fontId="35" fillId="28" borderId="57" xfId="20" applyNumberFormat="1" applyFont="1" applyFill="1" applyBorder="1" applyAlignment="1" applyProtection="1">
      <alignment horizontal="center" vertical="center"/>
    </xf>
    <xf numFmtId="0" fontId="35" fillId="28" borderId="27" xfId="20" applyFont="1" applyFill="1" applyBorder="1"/>
    <xf numFmtId="175" fontId="35" fillId="30" borderId="3" xfId="20" applyNumberFormat="1" applyFont="1" applyFill="1" applyBorder="1" applyAlignment="1" applyProtection="1">
      <alignment horizontal="center" vertical="center"/>
    </xf>
    <xf numFmtId="0" fontId="36" fillId="28" borderId="59" xfId="20" applyFont="1" applyFill="1" applyBorder="1"/>
    <xf numFmtId="0" fontId="36" fillId="28" borderId="60" xfId="20" applyFont="1" applyFill="1" applyBorder="1"/>
    <xf numFmtId="0" fontId="77" fillId="28" borderId="60" xfId="20" applyFont="1" applyFill="1" applyBorder="1" applyAlignment="1">
      <alignment horizontal="center" vertical="center"/>
    </xf>
    <xf numFmtId="0" fontId="77" fillId="28" borderId="61" xfId="20" applyFont="1" applyFill="1" applyBorder="1" applyAlignment="1">
      <alignment horizontal="center" vertical="center" wrapText="1"/>
    </xf>
    <xf numFmtId="0" fontId="36" fillId="28" borderId="62" xfId="20" applyFont="1" applyFill="1" applyBorder="1" applyAlignment="1">
      <alignment wrapText="1"/>
    </xf>
    <xf numFmtId="0" fontId="36" fillId="28" borderId="63" xfId="20" applyFont="1" applyFill="1" applyBorder="1" applyAlignment="1">
      <alignment wrapText="1"/>
    </xf>
    <xf numFmtId="0" fontId="36" fillId="28" borderId="64" xfId="20" applyFont="1" applyFill="1" applyBorder="1" applyAlignment="1">
      <alignment horizontal="center"/>
    </xf>
    <xf numFmtId="175" fontId="33" fillId="30" borderId="65" xfId="20" applyNumberFormat="1" applyFont="1" applyFill="1" applyBorder="1" applyAlignment="1" applyProtection="1">
      <alignment horizontal="center"/>
    </xf>
    <xf numFmtId="0" fontId="36" fillId="28" borderId="66" xfId="20" applyFont="1" applyFill="1" applyBorder="1" applyAlignment="1">
      <alignment horizontal="left" wrapText="1"/>
    </xf>
    <xf numFmtId="0" fontId="36" fillId="28" borderId="67" xfId="20" applyFont="1" applyFill="1" applyBorder="1"/>
    <xf numFmtId="49" fontId="36" fillId="28" borderId="68" xfId="20" applyNumberFormat="1" applyFont="1" applyFill="1" applyBorder="1" applyAlignment="1">
      <alignment horizontal="center"/>
    </xf>
    <xf numFmtId="175" fontId="33" fillId="30" borderId="69" xfId="20" applyNumberFormat="1" applyFont="1" applyFill="1" applyBorder="1" applyAlignment="1" applyProtection="1">
      <alignment horizontal="center"/>
    </xf>
    <xf numFmtId="0" fontId="35" fillId="28" borderId="27" xfId="20" applyFont="1" applyFill="1" applyBorder="1" applyAlignment="1">
      <alignment wrapText="1"/>
    </xf>
    <xf numFmtId="0" fontId="35" fillId="28" borderId="70" xfId="20" applyFont="1" applyFill="1" applyBorder="1" applyAlignment="1">
      <alignment horizontal="center"/>
    </xf>
    <xf numFmtId="175" fontId="77" fillId="30" borderId="4" xfId="20" applyNumberFormat="1" applyFont="1" applyFill="1" applyBorder="1" applyAlignment="1">
      <alignment horizontal="center"/>
    </xf>
    <xf numFmtId="0" fontId="36" fillId="0" borderId="27" xfId="20" applyFont="1" applyBorder="1"/>
    <xf numFmtId="0" fontId="36" fillId="0" borderId="52" xfId="20" applyFont="1" applyBorder="1"/>
    <xf numFmtId="0" fontId="36" fillId="0" borderId="4" xfId="20" applyFont="1" applyBorder="1"/>
    <xf numFmtId="0" fontId="32" fillId="0" borderId="0" xfId="20" applyFont="1"/>
    <xf numFmtId="0" fontId="32" fillId="0" borderId="74" xfId="20" applyFont="1" applyBorder="1"/>
    <xf numFmtId="0" fontId="32" fillId="0" borderId="45" xfId="20" applyFont="1" applyBorder="1"/>
    <xf numFmtId="198" fontId="4" fillId="0" borderId="75" xfId="20" applyNumberFormat="1" applyBorder="1" applyAlignment="1">
      <alignment horizontal="center"/>
    </xf>
    <xf numFmtId="175" fontId="4" fillId="0" borderId="75" xfId="20" applyNumberFormat="1" applyBorder="1" applyAlignment="1">
      <alignment horizontal="center"/>
    </xf>
    <xf numFmtId="198" fontId="4" fillId="0" borderId="75" xfId="20" applyNumberFormat="1" applyBorder="1" applyAlignment="1">
      <alignment horizontal="center" wrapText="1"/>
    </xf>
    <xf numFmtId="0" fontId="32" fillId="0" borderId="18" xfId="20" applyFont="1" applyBorder="1"/>
    <xf numFmtId="198" fontId="4" fillId="0" borderId="0" xfId="20" applyNumberFormat="1"/>
    <xf numFmtId="0" fontId="4" fillId="0" borderId="75" xfId="20" applyFont="1" applyBorder="1" applyAlignment="1">
      <alignment horizontal="center"/>
    </xf>
    <xf numFmtId="49" fontId="32" fillId="0" borderId="0" xfId="20" applyNumberFormat="1" applyFont="1" applyBorder="1"/>
    <xf numFmtId="199" fontId="4" fillId="0" borderId="0" xfId="20" applyNumberFormat="1"/>
    <xf numFmtId="199" fontId="32" fillId="0" borderId="75" xfId="20" applyNumberFormat="1" applyFont="1" applyBorder="1" applyAlignment="1">
      <alignment horizontal="left"/>
    </xf>
    <xf numFmtId="199" fontId="32" fillId="0" borderId="75" xfId="20" applyNumberFormat="1" applyFont="1" applyFill="1" applyBorder="1" applyAlignment="1">
      <alignment horizontal="left"/>
    </xf>
    <xf numFmtId="0" fontId="4" fillId="15" borderId="54" xfId="20" applyFill="1" applyBorder="1"/>
    <xf numFmtId="0" fontId="32" fillId="15" borderId="54" xfId="20" applyFont="1" applyFill="1" applyBorder="1"/>
    <xf numFmtId="0" fontId="32" fillId="15" borderId="53" xfId="20" applyFont="1" applyFill="1" applyBorder="1"/>
    <xf numFmtId="0" fontId="4" fillId="9" borderId="55" xfId="20" applyFill="1" applyBorder="1"/>
    <xf numFmtId="0" fontId="4" fillId="9" borderId="54" xfId="20" applyFill="1" applyBorder="1"/>
    <xf numFmtId="0" fontId="4" fillId="9" borderId="53" xfId="20" applyFill="1" applyBorder="1"/>
    <xf numFmtId="0" fontId="32" fillId="0" borderId="45" xfId="20" applyFont="1" applyFill="1" applyBorder="1"/>
    <xf numFmtId="0" fontId="18" fillId="5" borderId="0" xfId="0" applyFont="1" applyFill="1" applyBorder="1" applyAlignment="1">
      <alignment horizontal="center" vertical="center"/>
    </xf>
    <xf numFmtId="175" fontId="0" fillId="0" borderId="0" xfId="0" applyNumberFormat="1" applyAlignment="1">
      <alignment vertical="center"/>
    </xf>
    <xf numFmtId="2" fontId="0" fillId="0" borderId="0" xfId="0" applyNumberFormat="1" applyAlignment="1">
      <alignment horizontal="center"/>
    </xf>
    <xf numFmtId="0" fontId="3" fillId="0" borderId="0" xfId="20" applyFont="1"/>
    <xf numFmtId="49" fontId="3" fillId="0" borderId="0" xfId="20" applyNumberFormat="1" applyFont="1"/>
    <xf numFmtId="49" fontId="4" fillId="0" borderId="0" xfId="20" applyNumberFormat="1"/>
    <xf numFmtId="0" fontId="3" fillId="0" borderId="0" xfId="20" applyNumberFormat="1" applyFont="1"/>
    <xf numFmtId="49" fontId="54" fillId="20" borderId="23" xfId="0" quotePrefix="1" applyNumberFormat="1" applyFont="1" applyFill="1" applyBorder="1" applyAlignment="1" applyProtection="1">
      <alignment horizontal="center" vertical="center"/>
      <protection locked="0"/>
    </xf>
    <xf numFmtId="0" fontId="36" fillId="0" borderId="0" xfId="21" applyFont="1" applyProtection="1"/>
    <xf numFmtId="0" fontId="36" fillId="0" borderId="76" xfId="21" applyFont="1" applyBorder="1" applyProtection="1"/>
    <xf numFmtId="0" fontId="36" fillId="0" borderId="77" xfId="21" applyFont="1" applyBorder="1" applyProtection="1"/>
    <xf numFmtId="0" fontId="36" fillId="0" borderId="78" xfId="21" applyFont="1" applyBorder="1" applyProtection="1"/>
    <xf numFmtId="0" fontId="36" fillId="0" borderId="26" xfId="21" applyFont="1" applyBorder="1" applyProtection="1"/>
    <xf numFmtId="0" fontId="36" fillId="0" borderId="0" xfId="21" applyFont="1" applyBorder="1" applyProtection="1"/>
    <xf numFmtId="0" fontId="36" fillId="0" borderId="30" xfId="21" applyFont="1" applyBorder="1" applyProtection="1"/>
    <xf numFmtId="0" fontId="36" fillId="28" borderId="76" xfId="21" applyFont="1" applyFill="1" applyBorder="1" applyProtection="1"/>
    <xf numFmtId="0" fontId="36" fillId="28" borderId="77" xfId="21" applyFont="1" applyFill="1" applyBorder="1" applyAlignment="1" applyProtection="1">
      <alignment horizontal="right"/>
    </xf>
    <xf numFmtId="0" fontId="36" fillId="28" borderId="78" xfId="21" applyFont="1" applyFill="1" applyBorder="1" applyProtection="1"/>
    <xf numFmtId="0" fontId="36" fillId="28" borderId="26" xfId="21" applyFont="1" applyFill="1" applyBorder="1" applyProtection="1"/>
    <xf numFmtId="0" fontId="36" fillId="28" borderId="0" xfId="21" applyFont="1" applyFill="1" applyBorder="1" applyAlignment="1" applyProtection="1">
      <alignment horizontal="right"/>
    </xf>
    <xf numFmtId="0" fontId="72" fillId="0" borderId="30" xfId="21" applyFont="1" applyBorder="1" applyProtection="1"/>
    <xf numFmtId="0" fontId="35" fillId="28" borderId="0" xfId="21" applyFont="1" applyFill="1" applyBorder="1" applyAlignment="1" applyProtection="1">
      <alignment horizontal="right"/>
    </xf>
    <xf numFmtId="0" fontId="72" fillId="0" borderId="0" xfId="21" applyFont="1" applyProtection="1"/>
    <xf numFmtId="0" fontId="35" fillId="28" borderId="27" xfId="21" applyFont="1" applyFill="1" applyBorder="1" applyProtection="1"/>
    <xf numFmtId="0" fontId="72" fillId="0" borderId="52" xfId="21" applyFont="1" applyFill="1" applyBorder="1" applyAlignment="1" applyProtection="1">
      <alignment horizontal="right"/>
      <protection locked="0"/>
    </xf>
    <xf numFmtId="0" fontId="77" fillId="28" borderId="76" xfId="21" applyFont="1" applyFill="1" applyBorder="1" applyAlignment="1" applyProtection="1">
      <alignment horizontal="center"/>
    </xf>
    <xf numFmtId="0" fontId="77" fillId="28" borderId="78" xfId="21" applyFont="1" applyFill="1" applyBorder="1" applyAlignment="1" applyProtection="1">
      <alignment horizontal="right" wrapText="1"/>
    </xf>
    <xf numFmtId="0" fontId="72" fillId="0" borderId="26" xfId="21" applyFont="1" applyBorder="1" applyProtection="1"/>
    <xf numFmtId="0" fontId="72" fillId="28" borderId="79" xfId="21" applyFont="1" applyFill="1" applyBorder="1" applyAlignment="1" applyProtection="1">
      <alignment horizontal="center"/>
    </xf>
    <xf numFmtId="0" fontId="72" fillId="28" borderId="26" xfId="21" applyFont="1" applyFill="1" applyBorder="1" applyAlignment="1" applyProtection="1">
      <alignment horizontal="center"/>
    </xf>
    <xf numFmtId="175" fontId="35" fillId="29" borderId="71" xfId="21" applyNumberFormat="1" applyFont="1" applyFill="1" applyBorder="1" applyAlignment="1" applyProtection="1">
      <alignment horizontal="right"/>
    </xf>
    <xf numFmtId="175" fontId="77" fillId="29" borderId="72" xfId="21" applyNumberFormat="1" applyFont="1" applyFill="1" applyBorder="1" applyAlignment="1" applyProtection="1">
      <alignment horizontal="right"/>
    </xf>
    <xf numFmtId="175" fontId="77" fillId="29" borderId="82" xfId="21" applyNumberFormat="1" applyFont="1" applyFill="1" applyBorder="1" applyAlignment="1" applyProtection="1">
      <alignment horizontal="right"/>
    </xf>
    <xf numFmtId="175" fontId="35" fillId="29" borderId="83" xfId="21" applyNumberFormat="1" applyFont="1" applyFill="1" applyBorder="1" applyAlignment="1" applyProtection="1">
      <alignment horizontal="right"/>
    </xf>
    <xf numFmtId="175" fontId="36" fillId="0" borderId="0" xfId="21" applyNumberFormat="1" applyFont="1" applyProtection="1"/>
    <xf numFmtId="0" fontId="77" fillId="28" borderId="79" xfId="21" applyFont="1" applyFill="1" applyBorder="1" applyAlignment="1" applyProtection="1">
      <alignment wrapText="1"/>
    </xf>
    <xf numFmtId="175" fontId="36" fillId="28" borderId="19" xfId="21" applyNumberFormat="1" applyFont="1" applyFill="1" applyBorder="1" applyAlignment="1" applyProtection="1">
      <alignment horizontal="right" wrapText="1"/>
    </xf>
    <xf numFmtId="175" fontId="77" fillId="30" borderId="73" xfId="21" applyNumberFormat="1" applyFont="1" applyFill="1" applyBorder="1" applyAlignment="1" applyProtection="1">
      <alignment horizontal="right"/>
    </xf>
    <xf numFmtId="0" fontId="77" fillId="28" borderId="27" xfId="21" applyFont="1" applyFill="1" applyBorder="1" applyAlignment="1" applyProtection="1">
      <alignment horizontal="left"/>
    </xf>
    <xf numFmtId="0" fontId="36" fillId="28" borderId="52" xfId="21" applyFont="1" applyFill="1" applyBorder="1" applyAlignment="1" applyProtection="1">
      <alignment horizontal="right" wrapText="1"/>
    </xf>
    <xf numFmtId="175" fontId="77" fillId="30" borderId="3" xfId="21" applyNumberFormat="1" applyFont="1" applyFill="1" applyBorder="1" applyAlignment="1" applyProtection="1">
      <alignment horizontal="right"/>
    </xf>
    <xf numFmtId="0" fontId="36" fillId="0" borderId="27" xfId="21" applyFont="1" applyBorder="1" applyProtection="1"/>
    <xf numFmtId="0" fontId="36" fillId="0" borderId="52" xfId="21" applyFont="1" applyBorder="1" applyProtection="1"/>
    <xf numFmtId="0" fontId="36" fillId="0" borderId="4" xfId="21" applyFont="1" applyBorder="1" applyProtection="1"/>
    <xf numFmtId="2" fontId="54" fillId="15" borderId="0" xfId="0" applyNumberFormat="1" applyFont="1" applyFill="1" applyBorder="1" applyAlignment="1" applyProtection="1">
      <alignment horizontal="center"/>
    </xf>
    <xf numFmtId="0" fontId="45" fillId="15" borderId="45" xfId="0" applyFont="1" applyFill="1" applyBorder="1" applyProtection="1"/>
    <xf numFmtId="0" fontId="64" fillId="0" borderId="0" xfId="0" applyFont="1" applyFill="1" applyProtection="1"/>
    <xf numFmtId="0" fontId="0" fillId="0" borderId="45" xfId="0" applyBorder="1" applyProtection="1"/>
    <xf numFmtId="177" fontId="54" fillId="17" borderId="23" xfId="0" applyNumberFormat="1" applyFont="1" applyFill="1" applyBorder="1" applyAlignment="1" applyProtection="1">
      <alignment horizontal="center"/>
    </xf>
    <xf numFmtId="0" fontId="61" fillId="0" borderId="0" xfId="0" applyFont="1" applyFill="1" applyProtection="1"/>
    <xf numFmtId="0" fontId="62" fillId="0" borderId="0" xfId="0" applyFont="1" applyFill="1" applyProtection="1"/>
    <xf numFmtId="0" fontId="63" fillId="0" borderId="0" xfId="0" applyFont="1" applyFill="1" applyProtection="1"/>
    <xf numFmtId="0" fontId="57" fillId="0" borderId="0" xfId="0" applyFont="1" applyFill="1" applyProtection="1"/>
    <xf numFmtId="0" fontId="81" fillId="21" borderId="0" xfId="0" applyFont="1" applyFill="1" applyProtection="1"/>
    <xf numFmtId="186" fontId="25" fillId="0" borderId="0" xfId="0" applyNumberFormat="1" applyFont="1"/>
    <xf numFmtId="2" fontId="25" fillId="0" borderId="0" xfId="0" applyNumberFormat="1" applyFont="1"/>
    <xf numFmtId="0" fontId="72" fillId="0" borderId="0" xfId="0" applyFont="1" applyFill="1" applyBorder="1" applyAlignment="1">
      <alignment horizontal="center" vertical="top" wrapText="1"/>
    </xf>
    <xf numFmtId="1" fontId="0" fillId="15" borderId="0" xfId="0" applyNumberFormat="1" applyFill="1" applyBorder="1" applyProtection="1"/>
    <xf numFmtId="9" fontId="0" fillId="0" borderId="0" xfId="2" applyNumberFormat="1" applyFont="1"/>
    <xf numFmtId="194" fontId="9" fillId="24" borderId="0" xfId="1" applyNumberFormat="1" applyFont="1" applyFill="1" applyAlignment="1">
      <alignment wrapText="1"/>
    </xf>
    <xf numFmtId="175" fontId="9" fillId="4" borderId="0" xfId="1" applyNumberFormat="1" applyFont="1" applyFill="1" applyAlignment="1">
      <alignment wrapText="1"/>
    </xf>
    <xf numFmtId="166" fontId="9" fillId="0" borderId="0" xfId="1" applyNumberFormat="1" applyFont="1" applyAlignment="1">
      <alignment wrapText="1"/>
    </xf>
    <xf numFmtId="0" fontId="25" fillId="0" borderId="0" xfId="0" applyFont="1" applyFill="1" applyBorder="1" applyAlignment="1">
      <alignment vertical="top" wrapText="1"/>
    </xf>
    <xf numFmtId="0" fontId="0" fillId="32" borderId="0" xfId="0" applyFont="1" applyFill="1"/>
    <xf numFmtId="0" fontId="0" fillId="30" borderId="0" xfId="0" applyFont="1" applyFill="1"/>
    <xf numFmtId="0" fontId="36" fillId="33" borderId="0" xfId="0" applyFont="1" applyFill="1"/>
    <xf numFmtId="0" fontId="36" fillId="2" borderId="0" xfId="0" applyFont="1" applyFill="1"/>
    <xf numFmtId="0" fontId="28" fillId="0" borderId="0" xfId="0" applyFont="1" applyFill="1" applyAlignment="1">
      <alignment horizontal="right"/>
    </xf>
    <xf numFmtId="0" fontId="0" fillId="0" borderId="0" xfId="0" applyFont="1" applyFill="1"/>
    <xf numFmtId="0" fontId="36" fillId="34" borderId="0" xfId="0" applyFont="1" applyFill="1"/>
    <xf numFmtId="0" fontId="35" fillId="0" borderId="0" xfId="0" applyFont="1" applyFill="1"/>
    <xf numFmtId="0" fontId="35" fillId="34" borderId="0" xfId="0" applyFont="1" applyFill="1"/>
    <xf numFmtId="0" fontId="35" fillId="2" borderId="0" xfId="0" applyFont="1" applyFill="1"/>
    <xf numFmtId="0" fontId="36" fillId="0" borderId="0" xfId="0" applyFont="1" applyFill="1"/>
    <xf numFmtId="199" fontId="32" fillId="0" borderId="84" xfId="20" applyNumberFormat="1" applyFont="1" applyBorder="1" applyAlignment="1">
      <alignment horizontal="left"/>
    </xf>
    <xf numFmtId="0" fontId="32" fillId="0" borderId="84" xfId="20" applyFont="1" applyBorder="1" applyAlignment="1">
      <alignment horizontal="center" wrapText="1"/>
    </xf>
    <xf numFmtId="175" fontId="32" fillId="0" borderId="84" xfId="20" applyNumberFormat="1" applyFont="1" applyBorder="1" applyAlignment="1">
      <alignment horizontal="center" wrapText="1"/>
    </xf>
    <xf numFmtId="175" fontId="4" fillId="0" borderId="75" xfId="20" applyNumberFormat="1" applyBorder="1" applyAlignment="1">
      <alignment horizontal="center" wrapText="1"/>
    </xf>
    <xf numFmtId="198" fontId="32" fillId="0" borderId="84" xfId="20" applyNumberFormat="1" applyFont="1" applyBorder="1" applyAlignment="1">
      <alignment horizontal="center" vertical="center" wrapText="1"/>
    </xf>
    <xf numFmtId="175" fontId="4" fillId="0" borderId="75" xfId="20" applyNumberFormat="1" applyFont="1" applyBorder="1" applyAlignment="1">
      <alignment horizontal="center"/>
    </xf>
    <xf numFmtId="0" fontId="82" fillId="0" borderId="0" xfId="0" applyFont="1"/>
    <xf numFmtId="175" fontId="82" fillId="0" borderId="0" xfId="0" applyNumberFormat="1" applyFont="1"/>
    <xf numFmtId="49" fontId="1" fillId="0" borderId="0" xfId="20" applyNumberFormat="1" applyFont="1"/>
    <xf numFmtId="199" fontId="32" fillId="0" borderId="71" xfId="20" applyNumberFormat="1" applyFont="1" applyBorder="1" applyAlignment="1">
      <alignment horizontal="left"/>
    </xf>
    <xf numFmtId="198" fontId="1" fillId="0" borderId="71" xfId="0" applyNumberFormat="1" applyFont="1" applyBorder="1" applyAlignment="1">
      <alignment horizontal="center"/>
    </xf>
    <xf numFmtId="175" fontId="1" fillId="0" borderId="71" xfId="0" applyNumberFormat="1" applyFont="1" applyBorder="1" applyAlignment="1">
      <alignment horizontal="center"/>
    </xf>
    <xf numFmtId="198" fontId="1" fillId="0" borderId="71" xfId="0" applyNumberFormat="1" applyFont="1" applyBorder="1" applyAlignment="1">
      <alignment horizontal="center" wrapText="1"/>
    </xf>
    <xf numFmtId="0" fontId="32" fillId="0" borderId="0" xfId="0" applyFont="1"/>
    <xf numFmtId="199" fontId="32" fillId="0" borderId="85" xfId="0" applyNumberFormat="1" applyFont="1" applyBorder="1" applyAlignment="1">
      <alignment horizontal="left"/>
    </xf>
    <xf numFmtId="198" fontId="1" fillId="0" borderId="85" xfId="0" applyNumberFormat="1" applyFont="1" applyBorder="1" applyAlignment="1">
      <alignment horizontal="center"/>
    </xf>
    <xf numFmtId="175" fontId="1" fillId="0" borderId="85" xfId="0" applyNumberFormat="1" applyFont="1" applyBorder="1" applyAlignment="1">
      <alignment horizontal="center"/>
    </xf>
    <xf numFmtId="198" fontId="1" fillId="0" borderId="85" xfId="0" applyNumberFormat="1" applyFont="1" applyBorder="1" applyAlignment="1">
      <alignment horizontal="center" wrapText="1"/>
    </xf>
    <xf numFmtId="199" fontId="32" fillId="0" borderId="75" xfId="0" applyNumberFormat="1" applyFont="1" applyBorder="1" applyAlignment="1">
      <alignment horizontal="left"/>
    </xf>
    <xf numFmtId="198" fontId="1" fillId="0" borderId="75" xfId="0" applyNumberFormat="1" applyFont="1" applyBorder="1" applyAlignment="1">
      <alignment horizontal="center"/>
    </xf>
    <xf numFmtId="175" fontId="1" fillId="0" borderId="75" xfId="0" applyNumberFormat="1" applyFont="1" applyBorder="1" applyAlignment="1">
      <alignment horizontal="center"/>
    </xf>
    <xf numFmtId="198" fontId="1" fillId="0" borderId="75" xfId="0" applyNumberFormat="1" applyFont="1" applyBorder="1" applyAlignment="1">
      <alignment horizontal="center" wrapText="1"/>
    </xf>
    <xf numFmtId="198" fontId="0" fillId="0" borderId="75" xfId="0" applyNumberFormat="1" applyBorder="1" applyAlignment="1">
      <alignment horizontal="center"/>
    </xf>
    <xf numFmtId="175" fontId="0" fillId="0" borderId="75" xfId="0" applyNumberFormat="1" applyBorder="1" applyAlignment="1">
      <alignment horizontal="center"/>
    </xf>
    <xf numFmtId="198" fontId="0" fillId="0" borderId="75" xfId="0" applyNumberFormat="1" applyBorder="1" applyAlignment="1">
      <alignment horizontal="center" wrapText="1"/>
    </xf>
    <xf numFmtId="199" fontId="32" fillId="0" borderId="71" xfId="0" applyNumberFormat="1" applyFont="1" applyBorder="1" applyAlignment="1">
      <alignment horizontal="left"/>
    </xf>
    <xf numFmtId="198" fontId="0" fillId="0" borderId="71" xfId="0" applyNumberFormat="1" applyBorder="1" applyAlignment="1">
      <alignment horizontal="center"/>
    </xf>
    <xf numFmtId="175" fontId="0" fillId="0" borderId="71" xfId="0" applyNumberFormat="1" applyBorder="1" applyAlignment="1">
      <alignment horizontal="center"/>
    </xf>
    <xf numFmtId="198" fontId="0" fillId="0" borderId="71" xfId="0" applyNumberFormat="1" applyBorder="1" applyAlignment="1">
      <alignment horizontal="center" wrapText="1"/>
    </xf>
    <xf numFmtId="198" fontId="0" fillId="0" borderId="85" xfId="0" applyNumberFormat="1" applyBorder="1" applyAlignment="1">
      <alignment horizontal="center"/>
    </xf>
    <xf numFmtId="175" fontId="0" fillId="0" borderId="85" xfId="0" applyNumberFormat="1" applyBorder="1" applyAlignment="1">
      <alignment horizontal="center"/>
    </xf>
    <xf numFmtId="198" fontId="0" fillId="0" borderId="85" xfId="0" applyNumberFormat="1" applyBorder="1" applyAlignment="1">
      <alignment horizontal="center" wrapText="1"/>
    </xf>
    <xf numFmtId="199" fontId="1" fillId="0" borderId="71" xfId="0" applyNumberFormat="1" applyFont="1" applyBorder="1" applyAlignment="1">
      <alignment horizontal="left"/>
    </xf>
    <xf numFmtId="0" fontId="43" fillId="15" borderId="0" xfId="0" applyFont="1" applyFill="1"/>
    <xf numFmtId="167" fontId="19" fillId="15" borderId="4" xfId="0" applyNumberFormat="1" applyFont="1" applyFill="1" applyBorder="1" applyAlignment="1">
      <alignment horizontal="right" vertical="center"/>
    </xf>
    <xf numFmtId="167" fontId="21" fillId="15" borderId="8" xfId="0" applyNumberFormat="1" applyFont="1" applyFill="1" applyBorder="1" applyAlignment="1">
      <alignment horizontal="right"/>
    </xf>
    <xf numFmtId="0" fontId="19" fillId="15" borderId="4" xfId="0" applyFont="1" applyFill="1" applyBorder="1" applyAlignment="1">
      <alignment horizontal="center" vertical="center"/>
    </xf>
    <xf numFmtId="0" fontId="35" fillId="28" borderId="30" xfId="21" applyFont="1" applyFill="1" applyBorder="1" applyAlignment="1" applyProtection="1">
      <alignment horizontal="right"/>
    </xf>
    <xf numFmtId="0" fontId="77" fillId="28" borderId="77" xfId="21" applyFont="1" applyFill="1" applyBorder="1" applyAlignment="1" applyProtection="1">
      <alignment horizontal="right" wrapText="1"/>
    </xf>
    <xf numFmtId="0" fontId="83" fillId="0" borderId="0" xfId="0" applyFont="1"/>
    <xf numFmtId="49" fontId="83" fillId="0" borderId="0" xfId="0" applyNumberFormat="1" applyFont="1"/>
    <xf numFmtId="0" fontId="0" fillId="3" borderId="19" xfId="0" applyFill="1" applyBorder="1"/>
    <xf numFmtId="2" fontId="0" fillId="3" borderId="0" xfId="0" applyNumberFormat="1" applyFont="1" applyFill="1"/>
    <xf numFmtId="0" fontId="84" fillId="3" borderId="0" xfId="0" applyFont="1" applyFill="1" applyBorder="1"/>
    <xf numFmtId="2" fontId="84" fillId="3" borderId="0" xfId="0" applyNumberFormat="1" applyFont="1" applyFill="1" applyBorder="1"/>
    <xf numFmtId="0" fontId="84" fillId="3" borderId="19" xfId="0" applyFont="1" applyFill="1" applyBorder="1"/>
    <xf numFmtId="0" fontId="84" fillId="3" borderId="0" xfId="0" applyFont="1" applyFill="1" applyBorder="1" applyAlignment="1">
      <alignment vertical="center"/>
    </xf>
    <xf numFmtId="0" fontId="84" fillId="3" borderId="19" xfId="0" applyFont="1" applyFill="1" applyBorder="1" applyAlignment="1">
      <alignment vertical="center"/>
    </xf>
    <xf numFmtId="0" fontId="41" fillId="3" borderId="0" xfId="0" applyFont="1" applyFill="1" applyBorder="1"/>
    <xf numFmtId="0" fontId="84" fillId="3" borderId="0" xfId="0" applyFont="1" applyFill="1" applyBorder="1" applyAlignment="1">
      <alignment horizontal="right"/>
    </xf>
    <xf numFmtId="2" fontId="41" fillId="3" borderId="0" xfId="0" applyNumberFormat="1" applyFont="1" applyFill="1" applyBorder="1"/>
    <xf numFmtId="0" fontId="41" fillId="3" borderId="19" xfId="0" applyFont="1" applyFill="1" applyBorder="1"/>
    <xf numFmtId="0" fontId="84" fillId="3" borderId="22" xfId="0" applyFont="1" applyFill="1" applyBorder="1"/>
    <xf numFmtId="2" fontId="84" fillId="3" borderId="22" xfId="0" applyNumberFormat="1" applyFont="1" applyFill="1" applyBorder="1"/>
    <xf numFmtId="0" fontId="41" fillId="3" borderId="22" xfId="0" applyFont="1" applyFill="1" applyBorder="1"/>
    <xf numFmtId="2" fontId="41" fillId="3" borderId="22" xfId="0" applyNumberFormat="1" applyFont="1" applyFill="1" applyBorder="1"/>
    <xf numFmtId="0" fontId="84" fillId="3" borderId="22" xfId="0" applyFont="1" applyFill="1" applyBorder="1" applyAlignment="1">
      <alignment horizontal="right"/>
    </xf>
    <xf numFmtId="0" fontId="41" fillId="3" borderId="20" xfId="0" applyFont="1" applyFill="1" applyBorder="1"/>
    <xf numFmtId="0" fontId="0" fillId="3" borderId="86" xfId="0" applyFill="1" applyBorder="1"/>
    <xf numFmtId="2" fontId="84" fillId="3" borderId="87" xfId="0" applyNumberFormat="1" applyFont="1" applyFill="1" applyBorder="1"/>
    <xf numFmtId="0" fontId="84" fillId="3" borderId="87" xfId="0" applyFont="1" applyFill="1" applyBorder="1"/>
    <xf numFmtId="2" fontId="84" fillId="3" borderId="88" xfId="0" applyNumberFormat="1" applyFont="1" applyFill="1" applyBorder="1"/>
    <xf numFmtId="0" fontId="71" fillId="3" borderId="45" xfId="0" applyFont="1" applyFill="1" applyBorder="1"/>
    <xf numFmtId="49" fontId="0" fillId="3" borderId="45" xfId="0" applyNumberFormat="1" applyFill="1" applyBorder="1"/>
    <xf numFmtId="0" fontId="10" fillId="0" borderId="0" xfId="1" applyFont="1" applyAlignment="1">
      <alignment wrapText="1"/>
    </xf>
    <xf numFmtId="0" fontId="0" fillId="0" borderId="0" xfId="0" applyAlignment="1">
      <alignment wrapText="1"/>
    </xf>
    <xf numFmtId="0" fontId="44" fillId="22" borderId="15" xfId="0" applyFont="1" applyFill="1" applyBorder="1" applyAlignment="1" applyProtection="1">
      <alignment horizontal="center"/>
    </xf>
    <xf numFmtId="0" fontId="44" fillId="22" borderId="16" xfId="0" applyFont="1" applyFill="1" applyBorder="1" applyAlignment="1" applyProtection="1">
      <alignment horizontal="center"/>
    </xf>
    <xf numFmtId="0" fontId="44" fillId="22" borderId="17" xfId="0" applyFont="1" applyFill="1" applyBorder="1" applyAlignment="1" applyProtection="1">
      <alignment horizontal="center"/>
    </xf>
    <xf numFmtId="0" fontId="45" fillId="22" borderId="18" xfId="0" applyFont="1" applyFill="1" applyBorder="1" applyAlignment="1" applyProtection="1">
      <alignment horizontal="center"/>
    </xf>
    <xf numFmtId="0" fontId="45" fillId="22" borderId="19" xfId="0" applyFont="1" applyFill="1" applyBorder="1" applyAlignment="1" applyProtection="1">
      <alignment horizontal="center"/>
    </xf>
    <xf numFmtId="0" fontId="45" fillId="22" borderId="20" xfId="0" applyFont="1" applyFill="1" applyBorder="1" applyAlignment="1" applyProtection="1">
      <alignment horizontal="center"/>
    </xf>
    <xf numFmtId="0" fontId="33" fillId="0" borderId="0" xfId="1" applyFont="1" applyAlignment="1">
      <alignment wrapText="1"/>
    </xf>
    <xf numFmtId="0" fontId="7" fillId="0" borderId="0" xfId="0" applyFont="1" applyAlignment="1">
      <alignment wrapText="1"/>
    </xf>
    <xf numFmtId="0" fontId="58" fillId="0" borderId="28" xfId="0" applyFont="1" applyBorder="1" applyAlignment="1">
      <alignment vertical="center" wrapText="1"/>
    </xf>
    <xf numFmtId="0" fontId="58" fillId="0" borderId="5" xfId="0" applyFont="1" applyBorder="1" applyAlignment="1">
      <alignment vertical="center" wrapText="1"/>
    </xf>
    <xf numFmtId="0" fontId="58" fillId="0" borderId="3" xfId="0" applyFont="1" applyBorder="1" applyAlignment="1">
      <alignment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5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59" fillId="0" borderId="28" xfId="0" applyFont="1" applyBorder="1" applyAlignment="1">
      <alignment vertical="center" wrapText="1"/>
    </xf>
    <xf numFmtId="0" fontId="59" fillId="0" borderId="3" xfId="0" applyFont="1" applyBorder="1" applyAlignment="1">
      <alignment vertical="center" wrapText="1"/>
    </xf>
    <xf numFmtId="0" fontId="59" fillId="0" borderId="31" xfId="0" applyFont="1" applyBorder="1" applyAlignment="1">
      <alignment vertical="center" wrapText="1"/>
    </xf>
    <xf numFmtId="0" fontId="59" fillId="0" borderId="29" xfId="0" applyFont="1" applyBorder="1" applyAlignment="1">
      <alignment vertical="center" wrapText="1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4" fillId="9" borderId="0" xfId="20" applyFill="1" applyBorder="1" applyAlignment="1">
      <alignment horizontal="left" vertical="center" wrapText="1"/>
    </xf>
    <xf numFmtId="0" fontId="4" fillId="9" borderId="0" xfId="20" applyFill="1" applyBorder="1" applyAlignment="1">
      <alignment horizontal="left" wrapText="1"/>
    </xf>
    <xf numFmtId="0" fontId="76" fillId="9" borderId="0" xfId="20" applyFont="1" applyFill="1" applyBorder="1" applyAlignment="1">
      <alignment horizontal="left"/>
    </xf>
    <xf numFmtId="0" fontId="76" fillId="0" borderId="0" xfId="20" applyFont="1" applyBorder="1" applyAlignment="1">
      <alignment horizontal="left" vertical="top" wrapText="1"/>
    </xf>
    <xf numFmtId="0" fontId="35" fillId="28" borderId="26" xfId="20" applyFont="1" applyFill="1" applyBorder="1" applyAlignment="1">
      <alignment horizontal="left"/>
    </xf>
    <xf numFmtId="0" fontId="35" fillId="28" borderId="0" xfId="20" applyFont="1" applyFill="1" applyBorder="1" applyAlignment="1">
      <alignment horizontal="left"/>
    </xf>
    <xf numFmtId="0" fontId="35" fillId="28" borderId="30" xfId="20" applyFont="1" applyFill="1" applyBorder="1" applyAlignment="1">
      <alignment horizontal="left"/>
    </xf>
    <xf numFmtId="0" fontId="36" fillId="31" borderId="0" xfId="20" applyFont="1" applyFill="1" applyBorder="1" applyAlignment="1">
      <alignment horizontal="left" wrapText="1"/>
    </xf>
    <xf numFmtId="0" fontId="34" fillId="28" borderId="80" xfId="21" applyFont="1" applyFill="1" applyBorder="1" applyAlignment="1" applyProtection="1">
      <alignment horizontal="center"/>
    </xf>
    <xf numFmtId="0" fontId="34" fillId="28" borderId="81" xfId="21" applyFont="1" applyFill="1" applyBorder="1" applyAlignment="1" applyProtection="1">
      <alignment horizontal="center"/>
    </xf>
    <xf numFmtId="0" fontId="36" fillId="31" borderId="0" xfId="21" applyFont="1" applyFill="1" applyBorder="1" applyAlignment="1" applyProtection="1">
      <alignment horizontal="left" vertical="center" wrapText="1"/>
    </xf>
    <xf numFmtId="0" fontId="35" fillId="31" borderId="0" xfId="21" applyFont="1" applyFill="1" applyBorder="1" applyAlignment="1" applyProtection="1">
      <alignment horizontal="left" vertical="center" wrapText="1"/>
    </xf>
    <xf numFmtId="0" fontId="76" fillId="0" borderId="26" xfId="21" applyFont="1" applyBorder="1" applyAlignment="1" applyProtection="1">
      <alignment horizontal="center"/>
    </xf>
    <xf numFmtId="0" fontId="76" fillId="0" borderId="0" xfId="21" applyFont="1" applyBorder="1" applyAlignment="1" applyProtection="1">
      <alignment horizontal="center"/>
    </xf>
    <xf numFmtId="0" fontId="76" fillId="0" borderId="30" xfId="21" applyFont="1" applyBorder="1" applyAlignment="1" applyProtection="1">
      <alignment horizontal="center"/>
    </xf>
  </cellXfs>
  <cellStyles count="32">
    <cellStyle name="boldarial10wrap" xfId="9"/>
    <cellStyle name="Följd hyperlänk" xfId="6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3" builtinId="9" hidden="1"/>
    <cellStyle name="Följd hyperlänk" xfId="25" builtinId="9" hidden="1"/>
    <cellStyle name="Följd hyperlänk" xfId="27" builtinId="9" hidden="1"/>
    <cellStyle name="Följd hyperlänk" xfId="29" builtinId="9" hidden="1"/>
    <cellStyle name="Följd hyperlänk" xfId="31" builtinId="9" hidden="1"/>
    <cellStyle name="Hyperlänk" xfId="5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Hyperlänk" xfId="22" builtinId="8" hidden="1"/>
    <cellStyle name="Hyperlänk" xfId="24" builtinId="8" hidden="1"/>
    <cellStyle name="Hyperlänk" xfId="26" builtinId="8" hidden="1"/>
    <cellStyle name="Hyperlänk" xfId="28" builtinId="8" hidden="1"/>
    <cellStyle name="Hyperlänk" xfId="30" builtinId="8" hidden="1"/>
    <cellStyle name="Neutral" xfId="8" builtinId="28"/>
    <cellStyle name="Normal" xfId="0" builtinId="0"/>
    <cellStyle name="Normal 2" xfId="20"/>
    <cellStyle name="Normal 2 2" xfId="4"/>
    <cellStyle name="Normal 3" xfId="21"/>
    <cellStyle name="Normal_Blad1 2" xfId="3"/>
    <cellStyle name="Normal_Nannynytta v0 95" xfId="1"/>
    <cellStyle name="Procent" xfId="2" builtinId="5"/>
    <cellStyle name="Tusental" xfId="7" builtinId="3"/>
  </cellStyles>
  <dxfs count="10">
    <dxf>
      <fill>
        <patternFill>
          <bgColor rgb="FFF0B7AE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9" defaultPivotStyle="PivotStyleMedium7"/>
  <colors>
    <mruColors>
      <color rgb="FFFF5050"/>
      <color rgb="FFBF9000"/>
      <color rgb="FFA66BD3"/>
      <color rgb="FF963634"/>
      <color rgb="FFF0B7AE"/>
      <color rgb="FF963435"/>
      <color rgb="FFB7DEE8"/>
      <color rgb="FFFFFF99"/>
      <color rgb="FF768B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400" baseline="0"/>
              <a:t>Nytta kövarning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400" baseline="0"/>
              <a:t>2025-2045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400" baseline="0"/>
              <a:t>Mkr</a:t>
            </a:r>
          </a:p>
        </c:rich>
      </c:tx>
      <c:layout>
        <c:manualLayout>
          <c:xMode val="edge"/>
          <c:yMode val="edge"/>
          <c:x val="0.41604172020759"/>
          <c:y val="2.370334838759510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'Samhällsekonomisk kalkyl'!$J$3</c:f>
              <c:strCache>
                <c:ptCount val="1"/>
                <c:pt idx="0">
                  <c:v>Nytta 2025-2045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304-44B0-BD08-F2AB1FED2C5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304-44B0-BD08-F2AB1FED2C5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304-44B0-BD08-F2AB1FED2C57}"/>
              </c:ext>
            </c:extLst>
          </c:dPt>
          <c:dPt>
            <c:idx val="5"/>
            <c:invertIfNegative val="0"/>
            <c:bubble3D val="0"/>
            <c:spPr>
              <a:solidFill>
                <a:srgbClr val="BF9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304-44B0-BD08-F2AB1FED2C57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304-44B0-BD08-F2AB1FED2C57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304-44B0-BD08-F2AB1FED2C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'Samhällsekonomisk kalkyl'!$K$4:$K$11</c:f>
              <c:strCache>
                <c:ptCount val="8"/>
                <c:pt idx="0">
                  <c:v>Säkerhet</c:v>
                </c:pt>
                <c:pt idx="1">
                  <c:v>Framkomlighet</c:v>
                </c:pt>
                <c:pt idx="2">
                  <c:v>Miljö</c:v>
                </c:pt>
                <c:pt idx="4">
                  <c:v>Investering</c:v>
                </c:pt>
                <c:pt idx="5">
                  <c:v>Drift</c:v>
                </c:pt>
                <c:pt idx="6">
                  <c:v>Restvärde</c:v>
                </c:pt>
                <c:pt idx="7">
                  <c:v>Skattefaktor</c:v>
                </c:pt>
              </c:strCache>
            </c:strRef>
          </c:cat>
          <c:val>
            <c:numRef>
              <c:f>'Samhällsekonomisk kalkyl'!$L$4:$L$11</c:f>
              <c:numCache>
                <c:formatCode>0.0</c:formatCode>
                <c:ptCount val="8"/>
                <c:pt idx="0">
                  <c:v>1112.6320276369815</c:v>
                </c:pt>
                <c:pt idx="1">
                  <c:v>149.94910804635981</c:v>
                </c:pt>
                <c:pt idx="2">
                  <c:v>17.873259289773042</c:v>
                </c:pt>
                <c:pt idx="4">
                  <c:v>-70.738</c:v>
                </c:pt>
                <c:pt idx="5">
                  <c:v>-94.14308655113939</c:v>
                </c:pt>
                <c:pt idx="6">
                  <c:v>0</c:v>
                </c:pt>
                <c:pt idx="7">
                  <c:v>-49.464325965341828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304-44B0-BD08-F2AB1FED2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5258144"/>
        <c:axId val="325259320"/>
      </c:barChart>
      <c:catAx>
        <c:axId val="32525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25259320"/>
        <c:crossesAt val="0"/>
        <c:auto val="1"/>
        <c:lblAlgn val="ctr"/>
        <c:lblOffset val="200"/>
        <c:noMultiLvlLbl val="0"/>
      </c:catAx>
      <c:valAx>
        <c:axId val="325259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25258144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Nytta harmonisering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2025-2045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Mkr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'Samhällsekonomisk kalkyl'!$Q$3</c:f>
              <c:strCache>
                <c:ptCount val="1"/>
                <c:pt idx="0">
                  <c:v>Nytta 2025-2045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54-454B-A405-49C0AD88224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54-454B-A405-49C0AD88224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954-454B-A405-49C0AD88224D}"/>
              </c:ext>
            </c:extLst>
          </c:dPt>
          <c:dPt>
            <c:idx val="5"/>
            <c:invertIfNegative val="0"/>
            <c:bubble3D val="0"/>
            <c:spPr>
              <a:solidFill>
                <a:srgbClr val="BF9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954-454B-A405-49C0AD88224D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954-454B-A405-49C0AD88224D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54-454B-A405-49C0AD8822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'Samhällsekonomisk kalkyl'!$R$4:$R$11</c:f>
              <c:strCache>
                <c:ptCount val="8"/>
                <c:pt idx="0">
                  <c:v>Säkerhet</c:v>
                </c:pt>
                <c:pt idx="1">
                  <c:v>Framkomlighet</c:v>
                </c:pt>
                <c:pt idx="2">
                  <c:v>Miljö</c:v>
                </c:pt>
                <c:pt idx="4">
                  <c:v>Investering</c:v>
                </c:pt>
                <c:pt idx="5">
                  <c:v>Drift</c:v>
                </c:pt>
                <c:pt idx="6">
                  <c:v>Restvärde</c:v>
                </c:pt>
                <c:pt idx="7">
                  <c:v>Skattefaktor</c:v>
                </c:pt>
              </c:strCache>
            </c:strRef>
          </c:cat>
          <c:val>
            <c:numRef>
              <c:f>'Samhällsekonomisk kalkyl'!$S$4:$S$11</c:f>
              <c:numCache>
                <c:formatCode>0.0</c:formatCode>
                <c:ptCount val="8"/>
                <c:pt idx="0">
                  <c:v>127.0796174915788</c:v>
                </c:pt>
                <c:pt idx="1">
                  <c:v>30.028031696282447</c:v>
                </c:pt>
                <c:pt idx="2">
                  <c:v>41.553099603343554</c:v>
                </c:pt>
                <c:pt idx="4">
                  <c:v>-17.176000000000002</c:v>
                </c:pt>
                <c:pt idx="5">
                  <c:v>-18.104439721372959</c:v>
                </c:pt>
                <c:pt idx="6">
                  <c:v>0</c:v>
                </c:pt>
                <c:pt idx="7">
                  <c:v>-10.584131916411891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954-454B-A405-49C0AD882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261672"/>
        <c:axId val="325258536"/>
      </c:barChart>
      <c:catAx>
        <c:axId val="325261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25258536"/>
        <c:crosses val="autoZero"/>
        <c:auto val="1"/>
        <c:lblAlgn val="ctr"/>
        <c:lblOffset val="200"/>
        <c:noMultiLvlLbl val="0"/>
      </c:catAx>
      <c:valAx>
        <c:axId val="325258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25261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Nytta </a:t>
            </a:r>
            <a:r>
              <a:rPr lang="sv-SE" sz="1400" b="0" i="0" u="none" strike="noStrike" baseline="0">
                <a:effectLst/>
              </a:rPr>
              <a:t>MCS</a:t>
            </a:r>
            <a:r>
              <a:rPr lang="sv-SE" sz="1400" b="0" i="0" u="none" strike="noStrike" baseline="0"/>
              <a:t>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2025-2045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 Mkr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'Samhällsekonomisk kalkyl'!$D$3</c:f>
              <c:strCache>
                <c:ptCount val="1"/>
                <c:pt idx="0">
                  <c:v>Nytta 2025-2045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1D8-480B-B951-6C7FB69F132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1D8-480B-B951-6C7FB69F132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1D8-480B-B951-6C7FB69F1322}"/>
              </c:ext>
            </c:extLst>
          </c:dPt>
          <c:dPt>
            <c:idx val="5"/>
            <c:invertIfNegative val="0"/>
            <c:bubble3D val="0"/>
            <c:spPr>
              <a:solidFill>
                <a:srgbClr val="BF9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1D8-480B-B951-6C7FB69F1322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1D8-480B-B951-6C7FB69F1322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1D8-480B-B951-6C7FB69F13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'Samhällsekonomisk kalkyl'!$E$4:$E$11</c:f>
              <c:strCache>
                <c:ptCount val="8"/>
                <c:pt idx="0">
                  <c:v>Säkerhet</c:v>
                </c:pt>
                <c:pt idx="1">
                  <c:v>Framkomlighet</c:v>
                </c:pt>
                <c:pt idx="2">
                  <c:v>Miljö</c:v>
                </c:pt>
                <c:pt idx="4">
                  <c:v>Investering</c:v>
                </c:pt>
                <c:pt idx="5">
                  <c:v>Drift</c:v>
                </c:pt>
                <c:pt idx="6">
                  <c:v>Restvärde</c:v>
                </c:pt>
                <c:pt idx="7">
                  <c:v>Skattefaktor</c:v>
                </c:pt>
              </c:strCache>
            </c:strRef>
          </c:cat>
          <c:val>
            <c:numRef>
              <c:f>'Samhällsekonomisk kalkyl'!$F$4:$F$11</c:f>
              <c:numCache>
                <c:formatCode>0.0</c:formatCode>
                <c:ptCount val="8"/>
                <c:pt idx="0">
                  <c:v>1239.7116451285603</c:v>
                </c:pt>
                <c:pt idx="1">
                  <c:v>179.97713974264227</c:v>
                </c:pt>
                <c:pt idx="2">
                  <c:v>59.426358893116593</c:v>
                </c:pt>
                <c:pt idx="4">
                  <c:v>-87.914000000000001</c:v>
                </c:pt>
                <c:pt idx="5">
                  <c:v>-112.24752627251235</c:v>
                </c:pt>
                <c:pt idx="6">
                  <c:v>20.622500000000002</c:v>
                </c:pt>
                <c:pt idx="7">
                  <c:v>-53.861707881753716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1D8-480B-B951-6C7FB69F1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262848"/>
        <c:axId val="325259712"/>
      </c:barChart>
      <c:catAx>
        <c:axId val="32526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25259712"/>
        <c:crosses val="autoZero"/>
        <c:auto val="1"/>
        <c:lblAlgn val="ctr"/>
        <c:lblOffset val="200"/>
        <c:noMultiLvlLbl val="0"/>
      </c:catAx>
      <c:valAx>
        <c:axId val="32525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2526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400" baseline="0"/>
              <a:t>Nytta kövarning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400" baseline="0"/>
              <a:t>2025-2045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400" baseline="0"/>
              <a:t>Mkr</a:t>
            </a:r>
          </a:p>
        </c:rich>
      </c:tx>
      <c:layout>
        <c:manualLayout>
          <c:xMode val="edge"/>
          <c:yMode val="edge"/>
          <c:x val="0.41604172020759"/>
          <c:y val="2.370334838759510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'Samhällsekonomisk kalkyl'!$J$3</c:f>
              <c:strCache>
                <c:ptCount val="1"/>
                <c:pt idx="0">
                  <c:v>Nytta 2025-2045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395-4C03-A48E-691C4E9B809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395-4C03-A48E-691C4E9B809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395-4C03-A48E-691C4E9B8095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395-4C03-A48E-691C4E9B8095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95-4C03-A48E-691C4E9B80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'Samhällsekonomisk kalkyl'!$K$4:$K$11</c:f>
              <c:strCache>
                <c:ptCount val="8"/>
                <c:pt idx="0">
                  <c:v>Säkerhet</c:v>
                </c:pt>
                <c:pt idx="1">
                  <c:v>Framkomlighet</c:v>
                </c:pt>
                <c:pt idx="2">
                  <c:v>Miljö</c:v>
                </c:pt>
                <c:pt idx="4">
                  <c:v>Investering</c:v>
                </c:pt>
                <c:pt idx="5">
                  <c:v>Drift</c:v>
                </c:pt>
                <c:pt idx="6">
                  <c:v>Restvärde</c:v>
                </c:pt>
                <c:pt idx="7">
                  <c:v>Skattefaktor</c:v>
                </c:pt>
              </c:strCache>
            </c:strRef>
          </c:cat>
          <c:val>
            <c:numRef>
              <c:f>'Samhällsekonomisk kalkyl'!$L$4:$L$11</c:f>
              <c:numCache>
                <c:formatCode>0.0</c:formatCode>
                <c:ptCount val="8"/>
                <c:pt idx="0">
                  <c:v>1112.6320276369815</c:v>
                </c:pt>
                <c:pt idx="1">
                  <c:v>149.94910804635981</c:v>
                </c:pt>
                <c:pt idx="2">
                  <c:v>17.873259289773042</c:v>
                </c:pt>
                <c:pt idx="4">
                  <c:v>-70.738</c:v>
                </c:pt>
                <c:pt idx="5">
                  <c:v>-94.14308655113939</c:v>
                </c:pt>
                <c:pt idx="6">
                  <c:v>0</c:v>
                </c:pt>
                <c:pt idx="7">
                  <c:v>-49.464325965341828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395-4C03-A48E-691C4E9B8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5262456"/>
        <c:axId val="325260496"/>
      </c:barChart>
      <c:catAx>
        <c:axId val="325262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25260496"/>
        <c:crossesAt val="0"/>
        <c:auto val="1"/>
        <c:lblAlgn val="ctr"/>
        <c:lblOffset val="200"/>
        <c:noMultiLvlLbl val="0"/>
      </c:catAx>
      <c:valAx>
        <c:axId val="325260496"/>
        <c:scaling>
          <c:orientation val="minMax"/>
          <c:min val="-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2526245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Nytta harmonisering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2025-2045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Mkr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'Samhällsekonomisk kalkyl'!$Q$3</c:f>
              <c:strCache>
                <c:ptCount val="1"/>
                <c:pt idx="0">
                  <c:v>Nytta 2025-2045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90-41A0-A894-8E8D92AC2EFE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90-41A0-A894-8E8D92AC2EF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90-41A0-A894-8E8D92AC2EF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E90-41A0-A894-8E8D92AC2EFE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E90-41A0-A894-8E8D92AC2EFE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E90-41A0-A894-8E8D92AC2E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'Samhällsekonomisk kalkyl'!$R$4:$R$11</c:f>
              <c:strCache>
                <c:ptCount val="8"/>
                <c:pt idx="0">
                  <c:v>Säkerhet</c:v>
                </c:pt>
                <c:pt idx="1">
                  <c:v>Framkomlighet</c:v>
                </c:pt>
                <c:pt idx="2">
                  <c:v>Miljö</c:v>
                </c:pt>
                <c:pt idx="4">
                  <c:v>Investering</c:v>
                </c:pt>
                <c:pt idx="5">
                  <c:v>Drift</c:v>
                </c:pt>
                <c:pt idx="6">
                  <c:v>Restvärde</c:v>
                </c:pt>
                <c:pt idx="7">
                  <c:v>Skattefaktor</c:v>
                </c:pt>
              </c:strCache>
            </c:strRef>
          </c:cat>
          <c:val>
            <c:numRef>
              <c:f>'Samhällsekonomisk kalkyl'!$S$4:$S$11</c:f>
              <c:numCache>
                <c:formatCode>0.0</c:formatCode>
                <c:ptCount val="8"/>
                <c:pt idx="0">
                  <c:v>127.0796174915788</c:v>
                </c:pt>
                <c:pt idx="1">
                  <c:v>30.028031696282447</c:v>
                </c:pt>
                <c:pt idx="2">
                  <c:v>41.553099603343554</c:v>
                </c:pt>
                <c:pt idx="4">
                  <c:v>-17.176000000000002</c:v>
                </c:pt>
                <c:pt idx="5">
                  <c:v>-18.104439721372959</c:v>
                </c:pt>
                <c:pt idx="6">
                  <c:v>0</c:v>
                </c:pt>
                <c:pt idx="7">
                  <c:v>-10.584131916411891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E90-41A0-A894-8E8D92AC2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5263240"/>
        <c:axId val="283952248"/>
      </c:barChart>
      <c:catAx>
        <c:axId val="32526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83952248"/>
        <c:crosses val="autoZero"/>
        <c:auto val="1"/>
        <c:lblAlgn val="ctr"/>
        <c:lblOffset val="200"/>
        <c:noMultiLvlLbl val="0"/>
      </c:catAx>
      <c:valAx>
        <c:axId val="28395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25263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Nytta </a:t>
            </a:r>
            <a:r>
              <a:rPr lang="sv-SE" sz="1400" b="0" i="0" u="none" strike="noStrike" baseline="0">
                <a:effectLst/>
              </a:rPr>
              <a:t>MCS</a:t>
            </a:r>
            <a:r>
              <a:rPr lang="sv-SE" sz="1400" b="0" i="0" u="none" strike="noStrike" baseline="0"/>
              <a:t>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2025-2045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 Mkr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'Samhällsekonomisk kalkyl'!$D$3</c:f>
              <c:strCache>
                <c:ptCount val="1"/>
                <c:pt idx="0">
                  <c:v>Nytta 2025-2045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AC3-4384-8C2B-8A880A61ECE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AC3-4384-8C2B-8A880A61ECE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AC3-4384-8C2B-8A880A61ECE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AC3-4384-8C2B-8A880A61ECEF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AC3-4384-8C2B-8A880A61ECEF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AC3-4384-8C2B-8A880A61EC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'Samhällsekonomisk kalkyl'!$E$4:$E$11</c:f>
              <c:strCache>
                <c:ptCount val="8"/>
                <c:pt idx="0">
                  <c:v>Säkerhet</c:v>
                </c:pt>
                <c:pt idx="1">
                  <c:v>Framkomlighet</c:v>
                </c:pt>
                <c:pt idx="2">
                  <c:v>Miljö</c:v>
                </c:pt>
                <c:pt idx="4">
                  <c:v>Investering</c:v>
                </c:pt>
                <c:pt idx="5">
                  <c:v>Drift</c:v>
                </c:pt>
                <c:pt idx="6">
                  <c:v>Restvärde</c:v>
                </c:pt>
                <c:pt idx="7">
                  <c:v>Skattefaktor</c:v>
                </c:pt>
              </c:strCache>
            </c:strRef>
          </c:cat>
          <c:val>
            <c:numRef>
              <c:f>'Samhällsekonomisk kalkyl'!$F$4:$F$11</c:f>
              <c:numCache>
                <c:formatCode>0.0</c:formatCode>
                <c:ptCount val="8"/>
                <c:pt idx="0">
                  <c:v>1239.7116451285603</c:v>
                </c:pt>
                <c:pt idx="1">
                  <c:v>179.97713974264227</c:v>
                </c:pt>
                <c:pt idx="2">
                  <c:v>59.426358893116593</c:v>
                </c:pt>
                <c:pt idx="4">
                  <c:v>-87.914000000000001</c:v>
                </c:pt>
                <c:pt idx="5">
                  <c:v>-112.24752627251235</c:v>
                </c:pt>
                <c:pt idx="6">
                  <c:v>20.622500000000002</c:v>
                </c:pt>
                <c:pt idx="7">
                  <c:v>-53.861707881753716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AC3-4384-8C2B-8A880A61E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3951856"/>
        <c:axId val="283950288"/>
      </c:barChart>
      <c:catAx>
        <c:axId val="28395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83950288"/>
        <c:crosses val="autoZero"/>
        <c:auto val="1"/>
        <c:lblAlgn val="ctr"/>
        <c:lblOffset val="200"/>
        <c:noMultiLvlLbl val="0"/>
      </c:catAx>
      <c:valAx>
        <c:axId val="28395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8395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19049</xdr:rowOff>
    </xdr:from>
    <xdr:to>
      <xdr:col>0</xdr:col>
      <xdr:colOff>1857374</xdr:colOff>
      <xdr:row>2</xdr:row>
      <xdr:rowOff>1982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" y="19049"/>
          <a:ext cx="1838325" cy="516333"/>
        </a:xfrm>
        <a:prstGeom prst="rect">
          <a:avLst/>
        </a:prstGeom>
      </xdr:spPr>
    </xdr:pic>
    <xdr:clientData/>
  </xdr:twoCellAnchor>
  <xdr:twoCellAnchor>
    <xdr:from>
      <xdr:col>0</xdr:col>
      <xdr:colOff>200025</xdr:colOff>
      <xdr:row>86</xdr:row>
      <xdr:rowOff>0</xdr:rowOff>
    </xdr:from>
    <xdr:to>
      <xdr:col>9</xdr:col>
      <xdr:colOff>457200</xdr:colOff>
      <xdr:row>110</xdr:row>
      <xdr:rowOff>107633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133</xdr:row>
      <xdr:rowOff>133350</xdr:rowOff>
    </xdr:from>
    <xdr:to>
      <xdr:col>9</xdr:col>
      <xdr:colOff>382200</xdr:colOff>
      <xdr:row>158</xdr:row>
      <xdr:rowOff>39525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257175</xdr:colOff>
      <xdr:row>181</xdr:row>
      <xdr:rowOff>180974</xdr:rowOff>
    </xdr:from>
    <xdr:to>
      <xdr:col>9</xdr:col>
      <xdr:colOff>515550</xdr:colOff>
      <xdr:row>206</xdr:row>
      <xdr:rowOff>87149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0.86677</cdr:x>
      <cdr:y>0.11702</cdr:y>
    </cdr:from>
    <cdr:to>
      <cdr:x>1</cdr:x>
      <cdr:y>0.30097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6253480" y="5816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19049</xdr:rowOff>
    </xdr:from>
    <xdr:to>
      <xdr:col>0</xdr:col>
      <xdr:colOff>1857374</xdr:colOff>
      <xdr:row>2</xdr:row>
      <xdr:rowOff>1982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" y="19049"/>
          <a:ext cx="1838325" cy="5163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39370</xdr:colOff>
      <xdr:row>20</xdr:row>
      <xdr:rowOff>47413</xdr:rowOff>
    </xdr:from>
    <xdr:to>
      <xdr:col>12</xdr:col>
      <xdr:colOff>0</xdr:colOff>
      <xdr:row>44</xdr:row>
      <xdr:rowOff>21167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20320</xdr:colOff>
      <xdr:row>19</xdr:row>
      <xdr:rowOff>176530</xdr:rowOff>
    </xdr:from>
    <xdr:to>
      <xdr:col>20</xdr:col>
      <xdr:colOff>223520</xdr:colOff>
      <xdr:row>43</xdr:row>
      <xdr:rowOff>186690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52916</xdr:colOff>
      <xdr:row>20</xdr:row>
      <xdr:rowOff>4232</xdr:rowOff>
    </xdr:from>
    <xdr:to>
      <xdr:col>5</xdr:col>
      <xdr:colOff>666749</xdr:colOff>
      <xdr:row>44</xdr:row>
      <xdr:rowOff>103186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0.86677</cdr:x>
      <cdr:y>0.11702</cdr:y>
    </cdr:from>
    <cdr:to>
      <cdr:x>1</cdr:x>
      <cdr:y>0.30097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6253480" y="5816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</xdr:colOff>
      <xdr:row>32</xdr:row>
      <xdr:rowOff>45720</xdr:rowOff>
    </xdr:from>
    <xdr:to>
      <xdr:col>9</xdr:col>
      <xdr:colOff>653415</xdr:colOff>
      <xdr:row>35</xdr:row>
      <xdr:rowOff>198120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0" y="7078980"/>
          <a:ext cx="4143375" cy="81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_Disk\Projekt\TRIST\Arbetsmaterial\Avfartsramp%20161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llellavfart"/>
      <sheetName val="Tabeller"/>
    </sheetNames>
    <sheetDataSet>
      <sheetData sheetId="0" refreshError="1"/>
      <sheetData sheetId="1">
        <row r="28">
          <cell r="D28">
            <v>-6</v>
          </cell>
          <cell r="G28">
            <v>60</v>
          </cell>
        </row>
        <row r="29">
          <cell r="D29">
            <v>-5</v>
          </cell>
          <cell r="G29">
            <v>70</v>
          </cell>
        </row>
        <row r="30">
          <cell r="D30">
            <v>-4</v>
          </cell>
          <cell r="G30">
            <v>80</v>
          </cell>
        </row>
        <row r="31">
          <cell r="D31">
            <v>-3</v>
          </cell>
          <cell r="G31">
            <v>90</v>
          </cell>
        </row>
        <row r="32">
          <cell r="D32">
            <v>-2</v>
          </cell>
          <cell r="G32">
            <v>100</v>
          </cell>
        </row>
        <row r="33">
          <cell r="D33">
            <v>-1</v>
          </cell>
          <cell r="G33">
            <v>110</v>
          </cell>
        </row>
        <row r="34">
          <cell r="D34">
            <v>0</v>
          </cell>
        </row>
        <row r="35">
          <cell r="D35">
            <v>1</v>
          </cell>
        </row>
        <row r="36">
          <cell r="D36">
            <v>2</v>
          </cell>
        </row>
        <row r="37">
          <cell r="D37">
            <v>3</v>
          </cell>
        </row>
        <row r="38">
          <cell r="D38">
            <v>4</v>
          </cell>
        </row>
        <row r="39">
          <cell r="D39">
            <v>5</v>
          </cell>
        </row>
        <row r="40">
          <cell r="D40">
            <v>6</v>
          </cell>
        </row>
        <row r="66">
          <cell r="A66">
            <v>100</v>
          </cell>
          <cell r="K66">
            <v>50</v>
          </cell>
        </row>
        <row r="67">
          <cell r="A67">
            <v>150</v>
          </cell>
          <cell r="K67">
            <v>100</v>
          </cell>
        </row>
        <row r="68">
          <cell r="A68">
            <v>200</v>
          </cell>
          <cell r="K68">
            <v>150</v>
          </cell>
        </row>
        <row r="69">
          <cell r="A69">
            <v>250</v>
          </cell>
          <cell r="K69">
            <v>200</v>
          </cell>
        </row>
        <row r="70">
          <cell r="A70">
            <v>300</v>
          </cell>
          <cell r="K70">
            <v>300</v>
          </cell>
        </row>
        <row r="71">
          <cell r="A71">
            <v>350</v>
          </cell>
          <cell r="K71">
            <v>400</v>
          </cell>
        </row>
        <row r="72">
          <cell r="A72">
            <v>400</v>
          </cell>
          <cell r="K72">
            <v>500</v>
          </cell>
        </row>
        <row r="73">
          <cell r="A73">
            <v>450</v>
          </cell>
          <cell r="K73">
            <v>600</v>
          </cell>
        </row>
        <row r="74">
          <cell r="A74">
            <v>500</v>
          </cell>
        </row>
        <row r="75">
          <cell r="A75">
            <v>550</v>
          </cell>
        </row>
        <row r="76">
          <cell r="A76">
            <v>600</v>
          </cell>
        </row>
        <row r="77">
          <cell r="A77">
            <v>650</v>
          </cell>
        </row>
        <row r="78">
          <cell r="A78">
            <v>700</v>
          </cell>
        </row>
        <row r="79">
          <cell r="A79">
            <v>750</v>
          </cell>
        </row>
        <row r="80">
          <cell r="A80">
            <v>775</v>
          </cell>
        </row>
        <row r="81">
          <cell r="A81">
            <v>800</v>
          </cell>
        </row>
        <row r="82">
          <cell r="A82">
            <v>850</v>
          </cell>
        </row>
        <row r="83">
          <cell r="A83">
            <v>900</v>
          </cell>
        </row>
        <row r="84">
          <cell r="A84">
            <v>950</v>
          </cell>
        </row>
        <row r="85">
          <cell r="A85">
            <v>1000</v>
          </cell>
        </row>
        <row r="86">
          <cell r="A86">
            <v>1025</v>
          </cell>
        </row>
        <row r="87">
          <cell r="A87">
            <v>1050</v>
          </cell>
        </row>
        <row r="88">
          <cell r="A88">
            <v>1100</v>
          </cell>
        </row>
        <row r="89">
          <cell r="A89">
            <v>1150</v>
          </cell>
        </row>
        <row r="90">
          <cell r="A90">
            <v>1200</v>
          </cell>
        </row>
        <row r="91">
          <cell r="A91">
            <v>1250</v>
          </cell>
        </row>
        <row r="92">
          <cell r="A92">
            <v>1275</v>
          </cell>
        </row>
        <row r="93">
          <cell r="A93">
            <v>1300</v>
          </cell>
        </row>
        <row r="94">
          <cell r="A94">
            <v>1325</v>
          </cell>
        </row>
        <row r="95">
          <cell r="A95">
            <v>1330</v>
          </cell>
        </row>
        <row r="96">
          <cell r="A96">
            <v>1350</v>
          </cell>
        </row>
        <row r="97">
          <cell r="A97">
            <v>1400</v>
          </cell>
        </row>
        <row r="98">
          <cell r="A98">
            <v>1450</v>
          </cell>
        </row>
        <row r="99">
          <cell r="A99">
            <v>1475</v>
          </cell>
        </row>
        <row r="100">
          <cell r="A100">
            <v>1500</v>
          </cell>
        </row>
        <row r="101">
          <cell r="A101">
            <v>1525</v>
          </cell>
        </row>
        <row r="102">
          <cell r="A102">
            <v>1550</v>
          </cell>
        </row>
        <row r="103">
          <cell r="A103">
            <v>1600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G46"/>
  <sheetViews>
    <sheetView workbookViewId="0">
      <selection sqref="A1:B1"/>
    </sheetView>
  </sheetViews>
  <sheetFormatPr defaultColWidth="11" defaultRowHeight="15.75"/>
  <cols>
    <col min="1" max="1" width="21.875" bestFit="1" customWidth="1"/>
    <col min="2" max="2" width="88.875" customWidth="1"/>
    <col min="6" max="6" width="13.375" bestFit="1" customWidth="1"/>
  </cols>
  <sheetData>
    <row r="1" spans="1:7" ht="33.950000000000003" customHeight="1">
      <c r="A1" s="596" t="s">
        <v>174</v>
      </c>
      <c r="B1" s="597"/>
      <c r="C1" s="71" t="s">
        <v>89</v>
      </c>
    </row>
    <row r="2" spans="1:7">
      <c r="A2" t="s">
        <v>156</v>
      </c>
      <c r="B2" t="s">
        <v>172</v>
      </c>
      <c r="C2" t="s">
        <v>301</v>
      </c>
    </row>
    <row r="3" spans="1:7">
      <c r="A3" s="27" t="s">
        <v>181</v>
      </c>
      <c r="B3" t="s">
        <v>182</v>
      </c>
      <c r="C3" s="22" t="s">
        <v>301</v>
      </c>
      <c r="E3" s="22"/>
      <c r="F3" s="24"/>
      <c r="G3" s="24"/>
    </row>
    <row r="4" spans="1:7">
      <c r="A4" s="27" t="s">
        <v>185</v>
      </c>
      <c r="B4" t="s">
        <v>186</v>
      </c>
      <c r="C4" s="22" t="s">
        <v>301</v>
      </c>
      <c r="E4" s="22"/>
      <c r="F4" s="24"/>
      <c r="G4" s="24"/>
    </row>
    <row r="5" spans="1:7">
      <c r="A5" s="27" t="s">
        <v>189</v>
      </c>
      <c r="B5" t="s">
        <v>88</v>
      </c>
      <c r="C5" s="22" t="s">
        <v>301</v>
      </c>
      <c r="E5" s="22"/>
      <c r="F5" s="24"/>
      <c r="G5" s="24"/>
    </row>
    <row r="6" spans="1:7">
      <c r="A6" s="27" t="s">
        <v>129</v>
      </c>
      <c r="B6" t="s">
        <v>190</v>
      </c>
      <c r="C6" s="22" t="s">
        <v>301</v>
      </c>
      <c r="E6" s="22"/>
      <c r="F6" s="24"/>
      <c r="G6" s="24"/>
    </row>
    <row r="7" spans="1:7">
      <c r="A7" s="29" t="s">
        <v>175</v>
      </c>
      <c r="B7" t="s">
        <v>176</v>
      </c>
      <c r="C7" s="22"/>
      <c r="E7" s="22"/>
      <c r="F7" s="24"/>
      <c r="G7" s="24"/>
    </row>
    <row r="8" spans="1:7">
      <c r="A8" t="s">
        <v>66</v>
      </c>
      <c r="B8" t="s">
        <v>67</v>
      </c>
    </row>
    <row r="9" spans="1:7">
      <c r="A9" t="s">
        <v>155</v>
      </c>
      <c r="B9" t="s">
        <v>157</v>
      </c>
      <c r="C9" t="s">
        <v>301</v>
      </c>
    </row>
    <row r="10" spans="1:7">
      <c r="A10" t="s">
        <v>63</v>
      </c>
      <c r="B10" t="s">
        <v>65</v>
      </c>
    </row>
    <row r="11" spans="1:7">
      <c r="A11" t="s">
        <v>138</v>
      </c>
      <c r="B11" t="s">
        <v>64</v>
      </c>
      <c r="C11" t="s">
        <v>301</v>
      </c>
    </row>
    <row r="12" spans="1:7">
      <c r="A12" s="29" t="s">
        <v>63</v>
      </c>
      <c r="B12" t="s">
        <v>378</v>
      </c>
      <c r="C12" s="22"/>
      <c r="E12" s="22"/>
      <c r="F12" s="24"/>
      <c r="G12" s="24"/>
    </row>
    <row r="13" spans="1:7">
      <c r="A13" s="29" t="s">
        <v>447</v>
      </c>
      <c r="B13" t="s">
        <v>448</v>
      </c>
      <c r="C13" s="22"/>
      <c r="E13" s="22"/>
      <c r="F13" s="24"/>
      <c r="G13" s="24"/>
    </row>
    <row r="14" spans="1:7">
      <c r="A14" s="29" t="s">
        <v>314</v>
      </c>
      <c r="B14" t="s">
        <v>315</v>
      </c>
      <c r="C14" s="22"/>
      <c r="E14" s="22"/>
      <c r="F14" s="24"/>
      <c r="G14" s="24"/>
    </row>
    <row r="15" spans="1:7">
      <c r="A15" s="27" t="s">
        <v>33</v>
      </c>
      <c r="B15" t="s">
        <v>34</v>
      </c>
      <c r="C15" s="22"/>
      <c r="E15" s="22"/>
      <c r="F15" s="24"/>
      <c r="G15" s="24"/>
    </row>
    <row r="16" spans="1:7">
      <c r="A16" s="27"/>
      <c r="B16" t="s">
        <v>37</v>
      </c>
      <c r="C16" t="s">
        <v>301</v>
      </c>
      <c r="E16" s="22"/>
      <c r="F16" s="24"/>
      <c r="G16" s="24"/>
    </row>
    <row r="17" spans="1:7">
      <c r="A17" s="27"/>
      <c r="C17" s="22"/>
      <c r="E17" s="22"/>
      <c r="F17" s="24"/>
      <c r="G17" s="24"/>
    </row>
    <row r="18" spans="1:7">
      <c r="A18" s="297" t="s">
        <v>464</v>
      </c>
      <c r="B18" t="s">
        <v>361</v>
      </c>
      <c r="C18" s="22" t="s">
        <v>301</v>
      </c>
      <c r="E18" s="22"/>
      <c r="F18" s="24"/>
      <c r="G18" s="24"/>
    </row>
    <row r="19" spans="1:7">
      <c r="A19" s="27"/>
      <c r="B19" t="s">
        <v>465</v>
      </c>
      <c r="C19" s="22" t="s">
        <v>301</v>
      </c>
      <c r="E19" s="22"/>
      <c r="F19" s="24"/>
      <c r="G19" s="24"/>
    </row>
    <row r="20" spans="1:7">
      <c r="A20" s="29"/>
      <c r="B20" t="s">
        <v>356</v>
      </c>
      <c r="C20" s="22" t="s">
        <v>301</v>
      </c>
      <c r="E20" s="22"/>
      <c r="F20" s="24"/>
      <c r="G20" s="24"/>
    </row>
    <row r="21" spans="1:7">
      <c r="A21" s="29"/>
      <c r="B21" t="s">
        <v>357</v>
      </c>
      <c r="C21" s="22" t="s">
        <v>301</v>
      </c>
      <c r="E21" s="22"/>
      <c r="F21" s="24"/>
      <c r="G21" s="24"/>
    </row>
    <row r="22" spans="1:7">
      <c r="A22" s="29"/>
      <c r="B22" t="s">
        <v>358</v>
      </c>
      <c r="C22" s="22" t="s">
        <v>301</v>
      </c>
      <c r="E22" s="22"/>
      <c r="F22" s="24"/>
      <c r="G22" s="24"/>
    </row>
    <row r="23" spans="1:7">
      <c r="B23" t="s">
        <v>359</v>
      </c>
      <c r="C23" s="22" t="s">
        <v>301</v>
      </c>
    </row>
    <row r="24" spans="1:7">
      <c r="B24" t="s">
        <v>360</v>
      </c>
      <c r="C24" t="s">
        <v>301</v>
      </c>
    </row>
    <row r="26" spans="1:7">
      <c r="A26" s="69" t="s">
        <v>496</v>
      </c>
      <c r="B26" t="s">
        <v>442</v>
      </c>
      <c r="C26" t="s">
        <v>301</v>
      </c>
    </row>
    <row r="27" spans="1:7">
      <c r="B27" t="s">
        <v>529</v>
      </c>
      <c r="C27" t="s">
        <v>301</v>
      </c>
    </row>
    <row r="28" spans="1:7">
      <c r="B28" t="s">
        <v>502</v>
      </c>
      <c r="C28" t="s">
        <v>301</v>
      </c>
    </row>
    <row r="29" spans="1:7">
      <c r="B29" t="s">
        <v>538</v>
      </c>
      <c r="C29" t="s">
        <v>301</v>
      </c>
    </row>
    <row r="30" spans="1:7">
      <c r="B30" t="s">
        <v>539</v>
      </c>
      <c r="C30" t="s">
        <v>301</v>
      </c>
    </row>
    <row r="31" spans="1:7">
      <c r="B31" t="s">
        <v>440</v>
      </c>
      <c r="C31" t="s">
        <v>301</v>
      </c>
    </row>
    <row r="32" spans="1:7">
      <c r="B32" t="s">
        <v>441</v>
      </c>
      <c r="C32" t="s">
        <v>301</v>
      </c>
    </row>
    <row r="33" spans="1:3">
      <c r="B33" t="s">
        <v>563</v>
      </c>
      <c r="C33" t="s">
        <v>301</v>
      </c>
    </row>
    <row r="34" spans="1:3">
      <c r="B34" t="s">
        <v>564</v>
      </c>
      <c r="C34" t="s">
        <v>301</v>
      </c>
    </row>
    <row r="35" spans="1:3">
      <c r="B35" t="s">
        <v>565</v>
      </c>
      <c r="C35" t="s">
        <v>301</v>
      </c>
    </row>
    <row r="36" spans="1:3">
      <c r="B36" t="s">
        <v>533</v>
      </c>
      <c r="C36" t="s">
        <v>301</v>
      </c>
    </row>
    <row r="37" spans="1:3">
      <c r="B37" t="s">
        <v>536</v>
      </c>
      <c r="C37" t="s">
        <v>301</v>
      </c>
    </row>
    <row r="38" spans="1:3">
      <c r="B38" t="s">
        <v>534</v>
      </c>
      <c r="C38" t="s">
        <v>301</v>
      </c>
    </row>
    <row r="39" spans="1:3">
      <c r="B39" t="s">
        <v>535</v>
      </c>
      <c r="C39" t="s">
        <v>301</v>
      </c>
    </row>
    <row r="41" spans="1:3">
      <c r="A41" s="69" t="s">
        <v>524</v>
      </c>
      <c r="B41" t="s">
        <v>526</v>
      </c>
      <c r="C41" t="s">
        <v>301</v>
      </c>
    </row>
    <row r="42" spans="1:3">
      <c r="B42" t="s">
        <v>525</v>
      </c>
      <c r="C42" t="s">
        <v>301</v>
      </c>
    </row>
    <row r="43" spans="1:3">
      <c r="B43" t="s">
        <v>567</v>
      </c>
      <c r="C43" t="s">
        <v>301</v>
      </c>
    </row>
    <row r="44" spans="1:3">
      <c r="B44" t="s">
        <v>588</v>
      </c>
    </row>
    <row r="46" spans="1:3">
      <c r="A46" s="69" t="s">
        <v>629</v>
      </c>
      <c r="B46" t="s">
        <v>630</v>
      </c>
    </row>
  </sheetData>
  <mergeCells count="1">
    <mergeCell ref="A1:B1"/>
  </mergeCells>
  <phoneticPr fontId="66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rgb="FFA66BD3"/>
  </sheetPr>
  <dimension ref="A1:W82"/>
  <sheetViews>
    <sheetView workbookViewId="0">
      <selection activeCell="F1" sqref="F1"/>
    </sheetView>
  </sheetViews>
  <sheetFormatPr defaultColWidth="11" defaultRowHeight="15.75"/>
  <cols>
    <col min="1" max="1" width="22.5" customWidth="1"/>
    <col min="2" max="2" width="25.625" customWidth="1"/>
    <col min="3" max="3" width="9.875" bestFit="1" customWidth="1"/>
    <col min="5" max="5" width="13" bestFit="1" customWidth="1"/>
    <col min="6" max="6" width="14.875" customWidth="1"/>
    <col min="10" max="10" width="13.5" bestFit="1" customWidth="1"/>
    <col min="14" max="14" width="15.5" customWidth="1"/>
    <col min="15" max="15" width="18.875" customWidth="1"/>
    <col min="16" max="16" width="18.125" customWidth="1"/>
  </cols>
  <sheetData>
    <row r="1" spans="1:23" ht="45" customHeight="1">
      <c r="A1" s="596" t="s">
        <v>6</v>
      </c>
      <c r="B1" s="597"/>
      <c r="J1" t="s">
        <v>121</v>
      </c>
      <c r="N1" s="596" t="s">
        <v>27</v>
      </c>
      <c r="O1" s="597"/>
    </row>
    <row r="2" spans="1:23">
      <c r="A2" t="s">
        <v>61</v>
      </c>
      <c r="B2" t="s">
        <v>7</v>
      </c>
      <c r="C2" t="s">
        <v>62</v>
      </c>
      <c r="D2" t="s">
        <v>0</v>
      </c>
      <c r="E2" t="s">
        <v>62</v>
      </c>
      <c r="F2" t="s">
        <v>1</v>
      </c>
      <c r="G2" t="s">
        <v>2</v>
      </c>
      <c r="J2">
        <f>VALUE(MID('Uppgradering MCS_VH'!D2, 4,1))</f>
        <v>6</v>
      </c>
      <c r="K2">
        <f>'Uppgradering MCS_VH'!D3</f>
        <v>79000</v>
      </c>
      <c r="N2" s="32" t="s">
        <v>28</v>
      </c>
    </row>
    <row r="3" spans="1:23">
      <c r="A3" s="27" t="s">
        <v>3</v>
      </c>
      <c r="N3" s="299" t="s">
        <v>602</v>
      </c>
      <c r="O3" s="299"/>
      <c r="P3" s="299"/>
      <c r="Q3" s="299"/>
      <c r="R3" s="299"/>
      <c r="S3" s="299"/>
      <c r="T3" s="299"/>
      <c r="U3" s="299"/>
      <c r="V3" s="299"/>
      <c r="W3" s="299"/>
    </row>
    <row r="4" spans="1:23">
      <c r="A4" s="28">
        <v>15000</v>
      </c>
      <c r="B4">
        <f t="shared" ref="B4:B9" si="0">2000+1900</f>
        <v>3900</v>
      </c>
      <c r="C4" s="22">
        <f>B4/(A4/2)*100</f>
        <v>52</v>
      </c>
      <c r="D4">
        <f>0.7*B4</f>
        <v>2730</v>
      </c>
      <c r="E4" s="22">
        <f t="shared" ref="E4:E9" si="1">D4/(A4/2)*100</f>
        <v>36.4</v>
      </c>
      <c r="F4" s="23">
        <v>0.01</v>
      </c>
      <c r="G4" s="23" t="s">
        <v>8</v>
      </c>
      <c r="J4" s="27" t="s">
        <v>177</v>
      </c>
      <c r="K4" t="s">
        <v>1</v>
      </c>
      <c r="N4" s="299"/>
      <c r="O4" s="299"/>
      <c r="P4" s="299"/>
      <c r="Q4" s="299"/>
      <c r="R4" s="299"/>
      <c r="S4" s="299"/>
      <c r="T4" s="299"/>
      <c r="U4" s="299">
        <f>'MCS Indata &amp; Resultat'!C21</f>
        <v>100</v>
      </c>
      <c r="V4" s="299"/>
      <c r="W4" s="299"/>
    </row>
    <row r="5" spans="1:23" ht="47.25">
      <c r="A5" s="28">
        <f>A4+15000</f>
        <v>30000</v>
      </c>
      <c r="B5">
        <f t="shared" si="0"/>
        <v>3900</v>
      </c>
      <c r="C5" s="22">
        <f t="shared" ref="C5:C9" si="2">B5/(A5/2)*100</f>
        <v>26</v>
      </c>
      <c r="D5">
        <f t="shared" ref="D5:D9" si="3">0.7*B5</f>
        <v>2730</v>
      </c>
      <c r="E5" s="22">
        <f t="shared" si="1"/>
        <v>18.2</v>
      </c>
      <c r="F5" s="23">
        <v>0.01</v>
      </c>
      <c r="G5" s="23" t="s">
        <v>8</v>
      </c>
      <c r="J5" s="28">
        <v>15000</v>
      </c>
      <c r="K5" s="23">
        <v>0.01</v>
      </c>
      <c r="N5" s="299" t="s">
        <v>74</v>
      </c>
      <c r="O5" s="334" t="s">
        <v>78</v>
      </c>
      <c r="P5" s="334" t="s">
        <v>603</v>
      </c>
      <c r="Q5" s="299" t="s">
        <v>651</v>
      </c>
      <c r="R5" s="299"/>
      <c r="S5" s="335" t="s">
        <v>600</v>
      </c>
      <c r="T5" s="336"/>
      <c r="U5" s="299" t="s">
        <v>74</v>
      </c>
      <c r="V5" s="299" t="s">
        <v>589</v>
      </c>
      <c r="W5" s="299"/>
    </row>
    <row r="6" spans="1:23">
      <c r="A6" s="28">
        <f>A5+15000</f>
        <v>45000</v>
      </c>
      <c r="B6">
        <f t="shared" si="0"/>
        <v>3900</v>
      </c>
      <c r="C6" s="22">
        <f t="shared" si="2"/>
        <v>17.333333333333336</v>
      </c>
      <c r="D6">
        <f t="shared" si="3"/>
        <v>2730</v>
      </c>
      <c r="E6" s="22">
        <f t="shared" si="1"/>
        <v>12.133333333333333</v>
      </c>
      <c r="F6" s="23">
        <v>0.01</v>
      </c>
      <c r="G6" s="23" t="s">
        <v>8</v>
      </c>
      <c r="J6" s="28">
        <f>J5+15000</f>
        <v>30000</v>
      </c>
      <c r="K6" s="23">
        <v>0.01</v>
      </c>
      <c r="N6" s="299">
        <v>120</v>
      </c>
      <c r="O6" s="337">
        <v>1</v>
      </c>
      <c r="P6" s="338">
        <f t="shared" ref="P6:P11" si="4">O6*50%</f>
        <v>0.5</v>
      </c>
      <c r="Q6" s="338">
        <f>25%*P6</f>
        <v>0.125</v>
      </c>
      <c r="R6" s="299"/>
      <c r="S6" s="339">
        <v>117</v>
      </c>
      <c r="T6" s="336"/>
      <c r="U6" s="299">
        <v>70</v>
      </c>
      <c r="V6" s="340">
        <v>3.6493850639872587E-2</v>
      </c>
      <c r="W6" s="299"/>
    </row>
    <row r="7" spans="1:23">
      <c r="A7" s="28">
        <f t="shared" ref="A7:A9" si="5">A6+15000</f>
        <v>60000</v>
      </c>
      <c r="B7">
        <f t="shared" si="0"/>
        <v>3900</v>
      </c>
      <c r="C7" s="22">
        <f t="shared" si="2"/>
        <v>13</v>
      </c>
      <c r="D7">
        <f t="shared" si="3"/>
        <v>2730</v>
      </c>
      <c r="E7" s="22">
        <f t="shared" si="1"/>
        <v>9.1</v>
      </c>
      <c r="F7" s="24">
        <v>9.0781126827816055E-2</v>
      </c>
      <c r="G7" s="24">
        <v>0</v>
      </c>
      <c r="J7" s="28">
        <f>J6+15000</f>
        <v>45000</v>
      </c>
      <c r="K7" s="23">
        <v>0.01</v>
      </c>
      <c r="N7" s="299">
        <v>110</v>
      </c>
      <c r="O7" s="337">
        <f>((S7-50)/(S$6-50))^3</f>
        <v>0.71817344553685136</v>
      </c>
      <c r="P7" s="338">
        <f t="shared" si="4"/>
        <v>0.35908672276842568</v>
      </c>
      <c r="Q7" s="338">
        <f t="shared" ref="Q7:Q11" si="6">25%*P7</f>
        <v>8.977168069210642E-2</v>
      </c>
      <c r="R7" s="299"/>
      <c r="S7" s="339">
        <v>110</v>
      </c>
      <c r="T7" s="336"/>
      <c r="U7" s="299">
        <v>80</v>
      </c>
      <c r="V7" s="340">
        <v>9.1221327091430784E-2</v>
      </c>
      <c r="W7" s="299"/>
    </row>
    <row r="8" spans="1:23">
      <c r="A8" s="28">
        <f t="shared" si="5"/>
        <v>75000</v>
      </c>
      <c r="B8">
        <f t="shared" si="0"/>
        <v>3900</v>
      </c>
      <c r="C8" s="22">
        <f t="shared" si="2"/>
        <v>10.4</v>
      </c>
      <c r="D8">
        <f t="shared" si="3"/>
        <v>2730</v>
      </c>
      <c r="E8" s="22">
        <f t="shared" si="1"/>
        <v>7.28</v>
      </c>
      <c r="F8" s="24">
        <v>0.28364348217907126</v>
      </c>
      <c r="G8" s="24">
        <v>3.9185376709677491E-2</v>
      </c>
      <c r="J8" s="28">
        <f t="shared" ref="J8:J10" si="7">J7+15000</f>
        <v>60000</v>
      </c>
      <c r="K8" s="24">
        <v>9.0781126827816055E-2</v>
      </c>
      <c r="N8" s="299">
        <v>100</v>
      </c>
      <c r="O8" s="337">
        <f t="shared" ref="O8:O11" si="8">((S8-50)/(S$6-50))^3</f>
        <v>0.50913967143564864</v>
      </c>
      <c r="P8" s="338">
        <f t="shared" si="4"/>
        <v>0.25456983571782432</v>
      </c>
      <c r="Q8" s="338">
        <f t="shared" si="6"/>
        <v>6.3642458929456081E-2</v>
      </c>
      <c r="R8" s="299"/>
      <c r="S8" s="339">
        <v>103.5</v>
      </c>
      <c r="T8" s="336"/>
      <c r="U8" s="299">
        <v>90</v>
      </c>
      <c r="V8" s="340">
        <v>0.17259935563882528</v>
      </c>
      <c r="W8" s="299"/>
    </row>
    <row r="9" spans="1:23">
      <c r="A9" s="27">
        <f t="shared" si="5"/>
        <v>90000</v>
      </c>
      <c r="B9">
        <f t="shared" si="0"/>
        <v>3900</v>
      </c>
      <c r="C9" s="22">
        <f t="shared" si="2"/>
        <v>8.6666666666666679</v>
      </c>
      <c r="D9">
        <f t="shared" si="3"/>
        <v>2730</v>
      </c>
      <c r="E9" s="22">
        <f t="shared" si="1"/>
        <v>6.0666666666666664</v>
      </c>
      <c r="F9" s="24">
        <v>0.50603856751375698</v>
      </c>
      <c r="G9" s="24">
        <v>0.14364242364465155</v>
      </c>
      <c r="J9" s="28">
        <f t="shared" si="7"/>
        <v>75000</v>
      </c>
      <c r="K9" s="24">
        <v>0.28364348217907126</v>
      </c>
      <c r="N9" s="299">
        <v>90</v>
      </c>
      <c r="O9" s="337">
        <f t="shared" si="8"/>
        <v>0.34519871127765056</v>
      </c>
      <c r="P9" s="338">
        <f t="shared" si="4"/>
        <v>0.17259935563882528</v>
      </c>
      <c r="Q9" s="338">
        <f t="shared" si="6"/>
        <v>4.314983890970632E-2</v>
      </c>
      <c r="R9" s="299"/>
      <c r="S9" s="339">
        <v>97</v>
      </c>
      <c r="T9" s="299"/>
      <c r="U9" s="299">
        <v>100</v>
      </c>
      <c r="V9" s="340">
        <v>0.25456983571782432</v>
      </c>
      <c r="W9" s="299"/>
    </row>
    <row r="10" spans="1:23">
      <c r="A10" s="27" t="s">
        <v>4</v>
      </c>
      <c r="C10" s="22"/>
      <c r="E10" s="22"/>
      <c r="F10" s="24"/>
      <c r="G10" s="24"/>
      <c r="J10" s="27">
        <f t="shared" si="7"/>
        <v>90000</v>
      </c>
      <c r="K10" s="24">
        <v>0.50603856751375698</v>
      </c>
      <c r="N10" s="299">
        <v>80</v>
      </c>
      <c r="O10" s="337">
        <f t="shared" si="8"/>
        <v>0.18244265418286157</v>
      </c>
      <c r="P10" s="338">
        <f t="shared" si="4"/>
        <v>9.1221327091430784E-2</v>
      </c>
      <c r="Q10" s="338">
        <f t="shared" si="6"/>
        <v>2.2805331772857696E-2</v>
      </c>
      <c r="R10" s="299"/>
      <c r="S10" s="339">
        <v>88</v>
      </c>
      <c r="T10" s="337"/>
      <c r="U10" s="299">
        <v>110</v>
      </c>
      <c r="V10" s="340">
        <v>0.35908672276842568</v>
      </c>
      <c r="W10" s="299"/>
    </row>
    <row r="11" spans="1:23">
      <c r="A11" s="27">
        <v>75000</v>
      </c>
      <c r="B11">
        <f>2000+1900+1800</f>
        <v>5700</v>
      </c>
      <c r="C11" s="22">
        <f t="shared" ref="C11:C15" si="9">B11/(A11/2)*100</f>
        <v>15.2</v>
      </c>
      <c r="D11">
        <f t="shared" ref="D11:D15" si="10">0.7*B11</f>
        <v>3989.9999999999995</v>
      </c>
      <c r="E11" s="22">
        <f>D11/(A11/2)*100</f>
        <v>10.639999999999999</v>
      </c>
      <c r="F11" s="24">
        <v>2.6577789626970279E-2</v>
      </c>
      <c r="G11" s="24">
        <v>0</v>
      </c>
      <c r="J11" s="27" t="s">
        <v>178</v>
      </c>
      <c r="K11" s="24"/>
      <c r="N11" s="299">
        <v>70</v>
      </c>
      <c r="O11" s="337">
        <f t="shared" si="8"/>
        <v>7.2987701279745174E-2</v>
      </c>
      <c r="P11" s="338">
        <f t="shared" si="4"/>
        <v>3.6493850639872587E-2</v>
      </c>
      <c r="Q11" s="338">
        <f t="shared" si="6"/>
        <v>9.1234626599681467E-3</v>
      </c>
      <c r="R11" s="339"/>
      <c r="S11" s="339">
        <v>78</v>
      </c>
      <c r="T11" s="337"/>
      <c r="U11" s="299">
        <v>120</v>
      </c>
      <c r="V11" s="340">
        <v>0.5</v>
      </c>
      <c r="W11" s="299"/>
    </row>
    <row r="12" spans="1:23">
      <c r="A12" s="28">
        <f t="shared" ref="A12:A14" si="11">A11+15000</f>
        <v>90000</v>
      </c>
      <c r="B12">
        <f>2000+1900+1800</f>
        <v>5700</v>
      </c>
      <c r="C12" s="22">
        <f t="shared" si="9"/>
        <v>12.666666666666668</v>
      </c>
      <c r="D12">
        <f t="shared" si="10"/>
        <v>3989.9999999999995</v>
      </c>
      <c r="E12" s="22">
        <f>D12/(A12/2)*100</f>
        <v>8.8666666666666654</v>
      </c>
      <c r="F12" s="24">
        <v>0.11754161437013062</v>
      </c>
      <c r="G12" s="24">
        <v>0</v>
      </c>
      <c r="J12" s="27">
        <v>75000</v>
      </c>
      <c r="K12" s="24">
        <v>2.6577789626970279E-2</v>
      </c>
      <c r="N12" s="29"/>
      <c r="O12" s="299"/>
      <c r="P12" s="339"/>
      <c r="Q12" s="299"/>
      <c r="R12" s="339"/>
      <c r="S12" s="337"/>
      <c r="T12" s="337"/>
      <c r="U12" s="299"/>
      <c r="V12" s="299"/>
      <c r="W12" s="299"/>
    </row>
    <row r="13" spans="1:23">
      <c r="A13" s="28">
        <f t="shared" si="11"/>
        <v>105000</v>
      </c>
      <c r="B13">
        <f>2000+1900+1800</f>
        <v>5700</v>
      </c>
      <c r="C13" s="22">
        <f t="shared" si="9"/>
        <v>10.857142857142858</v>
      </c>
      <c r="D13">
        <f t="shared" si="10"/>
        <v>3989.9999999999995</v>
      </c>
      <c r="E13" s="22">
        <f>D13/(A13/2)*100</f>
        <v>7.6</v>
      </c>
      <c r="F13" s="223">
        <v>0.23485574845604917</v>
      </c>
      <c r="G13" s="24">
        <v>2.0191610667677266E-2</v>
      </c>
      <c r="I13" s="96"/>
      <c r="J13" s="28">
        <f t="shared" ref="J13:J15" si="12">J12+15000</f>
        <v>90000</v>
      </c>
      <c r="K13" s="24">
        <v>0.11754161437013062</v>
      </c>
      <c r="M13" s="159"/>
      <c r="N13" s="333"/>
      <c r="O13" s="69"/>
      <c r="P13" s="332"/>
      <c r="Q13" s="69"/>
      <c r="R13" s="332"/>
      <c r="S13" s="331"/>
      <c r="T13" s="331"/>
      <c r="U13" s="337">
        <f>VLOOKUP(U4,U6:V11,2)</f>
        <v>0.25456983571782432</v>
      </c>
      <c r="V13" s="69"/>
      <c r="W13" s="69"/>
    </row>
    <row r="14" spans="1:23">
      <c r="A14" s="28">
        <f t="shared" si="11"/>
        <v>120000</v>
      </c>
      <c r="B14">
        <f>2000+1900+1800</f>
        <v>5700</v>
      </c>
      <c r="C14" s="22">
        <f t="shared" si="9"/>
        <v>9.5</v>
      </c>
      <c r="D14">
        <f t="shared" si="10"/>
        <v>3989.9999999999995</v>
      </c>
      <c r="E14" s="22">
        <f>D14/(A14/2)*100</f>
        <v>6.6499999999999986</v>
      </c>
      <c r="F14" s="24">
        <v>0.39179793861347445</v>
      </c>
      <c r="G14" s="24">
        <v>6.8601120700672258E-2</v>
      </c>
      <c r="J14" s="28">
        <f t="shared" si="12"/>
        <v>105000</v>
      </c>
      <c r="K14" s="223">
        <v>0.23485574845604917</v>
      </c>
    </row>
    <row r="15" spans="1:23">
      <c r="A15" s="27">
        <f>A14+15000</f>
        <v>135000</v>
      </c>
      <c r="B15">
        <f>2000+1900+1800</f>
        <v>5700</v>
      </c>
      <c r="C15" s="22">
        <f t="shared" si="9"/>
        <v>8.4444444444444446</v>
      </c>
      <c r="D15">
        <f t="shared" si="10"/>
        <v>3989.9999999999995</v>
      </c>
      <c r="E15" s="22">
        <f>D15/(A15/2)*100</f>
        <v>5.9111111111111105</v>
      </c>
      <c r="F15" s="24">
        <v>0.54177715883222977</v>
      </c>
      <c r="G15" s="24">
        <v>0.15894091883979528</v>
      </c>
      <c r="J15" s="28">
        <f t="shared" si="12"/>
        <v>120000</v>
      </c>
      <c r="K15" s="24">
        <v>0.39179793861347445</v>
      </c>
    </row>
    <row r="16" spans="1:23">
      <c r="A16" s="27" t="s">
        <v>5</v>
      </c>
      <c r="C16" s="22"/>
      <c r="E16" s="22"/>
      <c r="F16" s="24"/>
      <c r="G16" s="24"/>
      <c r="J16" s="27">
        <f>J15+15000</f>
        <v>135000</v>
      </c>
      <c r="K16" s="24">
        <v>0.54177715883222977</v>
      </c>
    </row>
    <row r="17" spans="1:16">
      <c r="A17" s="27">
        <f>A8+15000</f>
        <v>90000</v>
      </c>
      <c r="B17">
        <f t="shared" ref="B17:B22" si="13">2000+1900+1800+1700</f>
        <v>7400</v>
      </c>
      <c r="C17" s="22">
        <f t="shared" ref="C17:C22" si="14">B17/(A17/2)*100</f>
        <v>16.444444444444446</v>
      </c>
      <c r="D17">
        <f t="shared" ref="D17:D22" si="15">0.7*B17</f>
        <v>5180</v>
      </c>
      <c r="E17" s="22">
        <f t="shared" ref="E17:E22" si="16">D17/(A17/2)*100</f>
        <v>11.511111111111111</v>
      </c>
      <c r="F17" s="24">
        <v>6.9569539858506391E-3</v>
      </c>
      <c r="G17" s="24">
        <v>0</v>
      </c>
      <c r="J17" s="27" t="s">
        <v>179</v>
      </c>
      <c r="K17" s="24"/>
    </row>
    <row r="18" spans="1:16">
      <c r="A18" s="27">
        <f t="shared" ref="A18:A20" si="17">A17+15000</f>
        <v>105000</v>
      </c>
      <c r="B18">
        <f t="shared" si="13"/>
        <v>7400</v>
      </c>
      <c r="C18" s="22">
        <f t="shared" si="14"/>
        <v>14.095238095238095</v>
      </c>
      <c r="D18">
        <f t="shared" si="15"/>
        <v>5180</v>
      </c>
      <c r="E18" s="22">
        <f t="shared" si="16"/>
        <v>9.8666666666666671</v>
      </c>
      <c r="F18" s="24">
        <v>5.1264182856663211E-2</v>
      </c>
      <c r="G18" s="24">
        <v>0</v>
      </c>
      <c r="J18" s="27">
        <f>J9+15000</f>
        <v>90000</v>
      </c>
      <c r="K18" s="24">
        <v>6.9569539858506391E-3</v>
      </c>
    </row>
    <row r="19" spans="1:16">
      <c r="A19" s="27">
        <f t="shared" si="17"/>
        <v>120000</v>
      </c>
      <c r="B19">
        <f t="shared" si="13"/>
        <v>7400</v>
      </c>
      <c r="C19" s="22">
        <f t="shared" si="14"/>
        <v>12.333333333333334</v>
      </c>
      <c r="D19">
        <f t="shared" si="15"/>
        <v>5180</v>
      </c>
      <c r="E19" s="22">
        <f t="shared" si="16"/>
        <v>8.6333333333333329</v>
      </c>
      <c r="F19" s="24">
        <v>0.1487864282692668</v>
      </c>
      <c r="G19" s="24">
        <v>0</v>
      </c>
      <c r="J19" s="27">
        <f t="shared" ref="J19:J21" si="18">J18+15000</f>
        <v>105000</v>
      </c>
      <c r="K19" s="516">
        <v>5.1264182856663211E-2</v>
      </c>
    </row>
    <row r="20" spans="1:16">
      <c r="A20" s="28">
        <f t="shared" si="17"/>
        <v>135000</v>
      </c>
      <c r="B20">
        <f t="shared" si="13"/>
        <v>7400</v>
      </c>
      <c r="C20" s="22">
        <f t="shared" si="14"/>
        <v>10.962962962962964</v>
      </c>
      <c r="D20">
        <f t="shared" si="15"/>
        <v>5180</v>
      </c>
      <c r="E20" s="22">
        <f t="shared" si="16"/>
        <v>7.6740740740740732</v>
      </c>
      <c r="F20" s="24">
        <v>0.22575154601558992</v>
      </c>
      <c r="G20" s="24">
        <v>2.0191610667677266E-2</v>
      </c>
      <c r="J20" s="27">
        <f t="shared" si="18"/>
        <v>120000</v>
      </c>
      <c r="K20" s="24">
        <v>0.1487864282692668</v>
      </c>
    </row>
    <row r="21" spans="1:16">
      <c r="A21" s="28">
        <f>A20+15000</f>
        <v>150000</v>
      </c>
      <c r="B21">
        <f t="shared" si="13"/>
        <v>7400</v>
      </c>
      <c r="C21" s="22">
        <f t="shared" si="14"/>
        <v>9.8666666666666671</v>
      </c>
      <c r="D21">
        <f t="shared" si="15"/>
        <v>5180</v>
      </c>
      <c r="E21" s="22">
        <f t="shared" si="16"/>
        <v>6.9066666666666663</v>
      </c>
      <c r="F21" s="24">
        <v>0.35545386417033464</v>
      </c>
      <c r="G21" s="24">
        <v>5.1264182856663211E-2</v>
      </c>
      <c r="J21" s="28">
        <f t="shared" si="18"/>
        <v>135000</v>
      </c>
      <c r="K21" s="24">
        <v>0.22575154601558992</v>
      </c>
    </row>
    <row r="22" spans="1:16">
      <c r="A22" s="28">
        <f>A21+15000</f>
        <v>165000</v>
      </c>
      <c r="B22">
        <f t="shared" si="13"/>
        <v>7400</v>
      </c>
      <c r="C22" s="22">
        <f t="shared" si="14"/>
        <v>8.9696969696969688</v>
      </c>
      <c r="D22">
        <f t="shared" si="15"/>
        <v>5180</v>
      </c>
      <c r="E22" s="22">
        <f t="shared" si="16"/>
        <v>6.2787878787878784</v>
      </c>
      <c r="F22" s="24">
        <v>0.48035664451731158</v>
      </c>
      <c r="G22" s="24">
        <v>0.10692559942439045</v>
      </c>
      <c r="J22" s="28">
        <f>J21+15000</f>
        <v>150000</v>
      </c>
      <c r="K22" s="24">
        <v>0.35545386417033464</v>
      </c>
    </row>
    <row r="23" spans="1:16">
      <c r="J23" s="28">
        <f>J22+15000</f>
        <v>165000</v>
      </c>
      <c r="K23" s="24">
        <v>0.48035664451731158</v>
      </c>
    </row>
    <row r="25" spans="1:16">
      <c r="J25" s="367">
        <f>0.75*IF(IF($J$2=4,IF(K2&lt;=J7,K5,IF(K2&lt;=J8,(K8-K7)*(K2-J7)/15000+K7,IF(K2&lt;=J9,(K2-J8)*(K9-K8)/15000+K8,(K10-K9)*(K2-J9)/15000+K9))),IF($J$2=6,IF(K2&lt;=J12,(K12)*(K2-60000)/15000,IF(K2&lt;=J13,(K13-K12)*(K2-J12)/15000+K12,IF(K2&lt;=J14,(K14-K13)*(K2-J13)/15000+K13,IF(K2&lt;=J15,(K15-K14)*(K2-J14)/15000+K14,(K16-K15)*(K2-J15)/15000+K15)))),IF($J$2=8,IF(K2&lt;=J18,(K2-75000)*(K18)/15000+K17,IF(K2&lt;=J19,(K19-K18)*(K2-J18)/15000+K18,IF(K2&lt;=J20,(K20-K19)*(K2-J19)/15000+K19,IF(K2&lt;=J21,(K21-K20)*(K2-J20)/15000+K20,IF(K2&lt;=J22,(K22-K21)*(K2-J21)/15000+K21,(K23-K22)*(K2-J22)/15000+K22))))))))&gt;0,IF($J$2=4,IF(K2&lt;=J7,K5,IF(K2&lt;=J8,(K8-K7)*(K2-J7)/15000+K7,IF(K2&lt;=J9,(K2-J8)*(K9-K8)/15000+K8,(K10-K9)*(K2-J9)/15000+K9))),IF($J$2=6,IF(K2&lt;=J12,(K12)*(K2-60000)/15000,IF(K2&lt;=J13,(K13-K12)*(K2-J12)/15000+K12,IF(K2&lt;=J14,(K14-K13)*(K2-J13)/15000+K13,IF(K2&lt;=J15,(K15-K14)*(K2-J14)/15000+K14,(K16-K15)*(K2-J15)/15000+K15)))),IF($J$2=8,IF(K2&lt;=J18,(K18)*(K2-75000)/15000+K17,IF(K2&lt;=J19,(K19-K18)*(K2-J18)/15000+K18,IF(K2&lt;=J20,(K20-K19)*(K2-J19)/15000+K19,IF(K2&lt;=J21,(K21-K20)*(K2-J20)/15000+K20,IF(K2&lt;=J22,(K22-K21)*(K2-J21)/15000+K21,(K23-K22)*(K2-J22)/15000+K22)))))))),0)</f>
        <v>3.812610716885978E-2</v>
      </c>
      <c r="K25" s="33"/>
    </row>
    <row r="26" spans="1:16">
      <c r="D26" s="33"/>
    </row>
    <row r="27" spans="1:16">
      <c r="A27" s="71" t="s">
        <v>270</v>
      </c>
      <c r="D27" s="33"/>
    </row>
    <row r="28" spans="1:16" ht="16.5">
      <c r="A28" s="47" t="s">
        <v>363</v>
      </c>
    </row>
    <row r="29" spans="1:16">
      <c r="A29" s="137">
        <f>VALUE(MID('Uppgradering MCS_VH'!D2, 4,1))</f>
        <v>6</v>
      </c>
    </row>
    <row r="30" spans="1:16">
      <c r="A30">
        <f>(('Uppgradering MCS_VH'!D3*'Uppgradering MCS_VH'!D4/100*1.2)+(1-'Uppgradering MCS_VH'!D4/100)*'Uppgradering MCS_VH'!D3)</f>
        <v>80264</v>
      </c>
      <c r="N30" t="s">
        <v>443</v>
      </c>
    </row>
    <row r="31" spans="1:16">
      <c r="N31" t="s">
        <v>444</v>
      </c>
      <c r="O31" t="s">
        <v>445</v>
      </c>
      <c r="P31" t="s">
        <v>446</v>
      </c>
    </row>
    <row r="32" spans="1:16">
      <c r="A32" s="299" t="s">
        <v>483</v>
      </c>
      <c r="N32">
        <v>70</v>
      </c>
      <c r="O32" s="86">
        <v>0.01</v>
      </c>
      <c r="P32" s="86">
        <v>0.05</v>
      </c>
    </row>
    <row r="33" spans="1:16" ht="17.25">
      <c r="A33" s="79" t="s">
        <v>254</v>
      </c>
      <c r="B33">
        <f>IF(B40&gt;1,(3010*B40-2991)*($B$39/3600)*B45,(350*B40^15)/(1+12*B40^7)-8*B40^10+0.00062*($B$39/3600)*B45)</f>
        <v>6215.6844240131577</v>
      </c>
      <c r="L33" s="47" t="s">
        <v>122</v>
      </c>
      <c r="N33">
        <v>80</v>
      </c>
      <c r="O33" s="86">
        <v>1.4999999999999999E-2</v>
      </c>
      <c r="P33" s="86">
        <v>0.1</v>
      </c>
    </row>
    <row r="34" spans="1:16" ht="17.25">
      <c r="A34" s="79" t="s">
        <v>255</v>
      </c>
      <c r="B34">
        <f>IF(B41&gt;1,(3010*B41-2991)*($B$39/3600)*B46,(350*B41^15)/(1+12*B41^7)-8*B41^10+0.00062*($B$39/3600)*B46)</f>
        <v>1928.9513273391815</v>
      </c>
      <c r="L34" s="79" t="s">
        <v>123</v>
      </c>
      <c r="N34">
        <v>90</v>
      </c>
      <c r="O34" s="86">
        <v>0.03</v>
      </c>
      <c r="P34" s="86">
        <v>0.15</v>
      </c>
    </row>
    <row r="35" spans="1:16" ht="17.25">
      <c r="A35" s="79" t="s">
        <v>256</v>
      </c>
      <c r="B35">
        <f>IF(B42&gt;1,(3010*B42-2991)*($B$39/3600)*B47,(350*B42^15)/(1+12*B42^7)-8*B42^10+0.00062*($B$39/3600)*B47)</f>
        <v>521.50800593567249</v>
      </c>
      <c r="L35" s="79" t="s">
        <v>221</v>
      </c>
      <c r="N35">
        <v>100</v>
      </c>
      <c r="O35" s="86">
        <v>0.06</v>
      </c>
      <c r="P35" s="86">
        <v>0.2</v>
      </c>
    </row>
    <row r="36" spans="1:16" ht="17.25">
      <c r="A36" s="79" t="s">
        <v>257</v>
      </c>
      <c r="B36">
        <f>IF(B43&gt;1,(3010*B43-2991)*($B$39/3600)*B48,(350*B43^15)/(1+12*B43^7)-8*B43^10+0.00062*($B$39/3600)*B48)</f>
        <v>180.95698729044841</v>
      </c>
      <c r="L36" s="79" t="s">
        <v>222</v>
      </c>
      <c r="N36">
        <v>110</v>
      </c>
      <c r="O36" s="86">
        <v>0.1</v>
      </c>
      <c r="P36" s="86">
        <v>0.25</v>
      </c>
    </row>
    <row r="37" spans="1:16" ht="17.25">
      <c r="A37" s="79" t="s">
        <v>162</v>
      </c>
      <c r="B37">
        <f>IF(B44&gt;1,(3010*B44-2991)*($B$39/3600)*B49,(350*B44^15)/(1+12*B44^7)-8*B44^10+0.00062*($B$39/3600)*B49)</f>
        <v>31.416139280701692</v>
      </c>
      <c r="L37" s="79" t="s">
        <v>223</v>
      </c>
      <c r="N37">
        <v>120</v>
      </c>
      <c r="O37" s="86">
        <v>0.15</v>
      </c>
      <c r="P37" s="86">
        <v>0.3</v>
      </c>
    </row>
    <row r="38" spans="1:16" ht="17.25">
      <c r="A38" s="79" t="s">
        <v>165</v>
      </c>
      <c r="B38" s="248">
        <f>(B33*0.1+B34*0.35+B35*0.55)*'Uppgradering MCS_VH'!D13</f>
        <v>6348.1148088963237</v>
      </c>
    </row>
    <row r="39" spans="1:16" ht="17.25">
      <c r="A39" s="79" t="s">
        <v>222</v>
      </c>
      <c r="B39">
        <f>A30*C39</f>
        <v>6019.8</v>
      </c>
      <c r="C39">
        <f>IF(A29=4,0.1,IF(A29=6,0.075,0.045))</f>
        <v>7.4999999999999997E-2</v>
      </c>
      <c r="D39" s="299" t="s">
        <v>566</v>
      </c>
      <c r="N39" s="71" t="s">
        <v>270</v>
      </c>
      <c r="O39">
        <f>VLOOKUP('MCS Indata &amp; Resultat'!C21,'Tät trafik'!N32:O37,2)</f>
        <v>0.06</v>
      </c>
      <c r="P39">
        <f>VLOOKUP('MCS Indata &amp; Resultat'!C21,'Tät trafik'!N32:P37,3)</f>
        <v>0.2</v>
      </c>
    </row>
    <row r="40" spans="1:16" ht="17.25">
      <c r="A40" s="79" t="s">
        <v>258</v>
      </c>
      <c r="B40">
        <f>B39/(IF(A50=A29,B50,IF(A51=A29,B51,B52))*C40)</f>
        <v>2.6402631578947369</v>
      </c>
      <c r="C40">
        <f>IF(A29=4,0.25,IF(A29=6,0.4,0.7))</f>
        <v>0.4</v>
      </c>
    </row>
    <row r="41" spans="1:16" ht="17.25">
      <c r="A41" s="79" t="s">
        <v>259</v>
      </c>
      <c r="B41">
        <f>B39/(IF(A50=A29,B50,IF(A51=A29,B51,B52))*C41)</f>
        <v>1.7601754385964912</v>
      </c>
      <c r="C41">
        <f>IF(A29=4,0.4,IF(A29=6,0.6,0.75))</f>
        <v>0.6</v>
      </c>
    </row>
    <row r="42" spans="1:16" ht="17.25">
      <c r="A42" s="79" t="s">
        <v>260</v>
      </c>
      <c r="B42">
        <f>B39/(IF(A50=A29,B50,IF(A51=A29,B51,B52))*C42)</f>
        <v>1.408140350877193</v>
      </c>
      <c r="C42">
        <f>IF(A29=4,0.65,IF(A29=6,0.75,0.8))</f>
        <v>0.75</v>
      </c>
    </row>
    <row r="43" spans="1:16" ht="17.25">
      <c r="A43" s="79" t="s">
        <v>261</v>
      </c>
      <c r="B43">
        <f>B39/(IF(A50=A29,B50,IF(A51=A29,B51,B52))*C43)</f>
        <v>1.1734502923976609</v>
      </c>
      <c r="C43">
        <f>IF(A29=4,0.75,IF(A29=6,0.9,0.9))</f>
        <v>0.9</v>
      </c>
    </row>
    <row r="44" spans="1:16" ht="17.25">
      <c r="A44" s="79" t="s">
        <v>163</v>
      </c>
      <c r="B44">
        <f>B39/(IF(A50=A29,B50,IF(A51=A29,B51,B52))*C44)</f>
        <v>1.0561052631578947</v>
      </c>
      <c r="C44">
        <f>IF(A29=4,1,IF(A29=6,1,1))</f>
        <v>1</v>
      </c>
    </row>
    <row r="45" spans="1:16" ht="17.25">
      <c r="A45" s="79" t="s">
        <v>158</v>
      </c>
      <c r="B45">
        <v>0.75</v>
      </c>
      <c r="F45" s="159"/>
    </row>
    <row r="46" spans="1:16" ht="17.25">
      <c r="A46" s="79" t="s">
        <v>159</v>
      </c>
      <c r="B46">
        <v>0.5</v>
      </c>
      <c r="F46" s="159"/>
    </row>
    <row r="47" spans="1:16" ht="17.25">
      <c r="A47" s="79" t="s">
        <v>160</v>
      </c>
      <c r="B47">
        <v>0.25</v>
      </c>
      <c r="F47" s="159"/>
    </row>
    <row r="48" spans="1:16" ht="17.25">
      <c r="A48" s="79" t="s">
        <v>161</v>
      </c>
      <c r="B48">
        <v>0.2</v>
      </c>
      <c r="F48" s="159"/>
    </row>
    <row r="49" spans="1:8" ht="17.25">
      <c r="A49" s="79" t="s">
        <v>164</v>
      </c>
      <c r="B49">
        <v>0.1</v>
      </c>
      <c r="F49" s="159"/>
    </row>
    <row r="50" spans="1:8" ht="17.25">
      <c r="A50" s="136">
        <v>4</v>
      </c>
      <c r="B50">
        <v>3900</v>
      </c>
    </row>
    <row r="51" spans="1:8" ht="17.25">
      <c r="A51" s="136">
        <v>6</v>
      </c>
      <c r="B51">
        <v>5700</v>
      </c>
    </row>
    <row r="52" spans="1:8" ht="17.25">
      <c r="A52" s="136">
        <v>8</v>
      </c>
      <c r="B52">
        <v>7400</v>
      </c>
    </row>
    <row r="53" spans="1:8">
      <c r="B53" s="99" t="s">
        <v>274</v>
      </c>
      <c r="F53" s="145"/>
    </row>
    <row r="54" spans="1:8" ht="31.5">
      <c r="A54" s="298" t="s">
        <v>491</v>
      </c>
      <c r="B54" s="22">
        <f>(G55+G56)/2</f>
        <v>4.0088356777571335</v>
      </c>
      <c r="C54" t="s">
        <v>272</v>
      </c>
      <c r="E54" t="s">
        <v>494</v>
      </c>
      <c r="F54" t="s">
        <v>592</v>
      </c>
      <c r="G54" s="298" t="s">
        <v>495</v>
      </c>
      <c r="H54" t="s">
        <v>370</v>
      </c>
    </row>
    <row r="55" spans="1:8">
      <c r="A55" t="s">
        <v>362</v>
      </c>
      <c r="B55" s="22">
        <f>'Uppgradering MCS_VH'!B7</f>
        <v>12.621604619497717</v>
      </c>
      <c r="C55" t="s">
        <v>293</v>
      </c>
      <c r="D55" t="s">
        <v>492</v>
      </c>
      <c r="E55" s="86">
        <v>0.15</v>
      </c>
      <c r="F55" s="22">
        <f>'MCS Indata &amp; Resultat'!C15*E55/(IF(A50=A29,B50,IF(A51=A29,B51,B52)))</f>
        <v>2.0789473684210527</v>
      </c>
      <c r="G55" s="22">
        <f>B55*F55/12</f>
        <v>2.1866376424129816</v>
      </c>
      <c r="H55" s="22">
        <f>G55+G56</f>
        <v>8.0176713555142669</v>
      </c>
    </row>
    <row r="56" spans="1:8">
      <c r="D56" t="s">
        <v>493</v>
      </c>
      <c r="E56" s="33">
        <v>0.4</v>
      </c>
      <c r="F56" s="22">
        <f>'MCS Indata &amp; Resultat'!C15*E56/(IF(A50=A29,B50,IF(A51=A29,B51,B52)))</f>
        <v>5.5438596491228074</v>
      </c>
      <c r="G56" s="22">
        <f>B55*F56/12</f>
        <v>5.8310337131012844</v>
      </c>
    </row>
    <row r="63" spans="1:8" ht="17.25" customHeight="1"/>
    <row r="65" ht="15" customHeight="1"/>
    <row r="71" ht="16.5" customHeight="1"/>
    <row r="73" ht="48.75" customHeight="1"/>
    <row r="82" ht="16.5" customHeight="1"/>
  </sheetData>
  <mergeCells count="2">
    <mergeCell ref="A1:B1"/>
    <mergeCell ref="N1:O1"/>
  </mergeCells>
  <phoneticPr fontId="66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tabColor rgb="FF92D050"/>
  </sheetPr>
  <dimension ref="A1:M53"/>
  <sheetViews>
    <sheetView workbookViewId="0">
      <selection activeCell="A38" sqref="A38"/>
    </sheetView>
  </sheetViews>
  <sheetFormatPr defaultColWidth="11" defaultRowHeight="15.75"/>
  <cols>
    <col min="5" max="5" width="18.125" bestFit="1" customWidth="1"/>
    <col min="6" max="6" width="18" bestFit="1" customWidth="1"/>
  </cols>
  <sheetData>
    <row r="1" spans="1:13" ht="44.1" customHeight="1">
      <c r="A1" s="596" t="s">
        <v>129</v>
      </c>
      <c r="B1" s="597"/>
    </row>
    <row r="2" spans="1:13" ht="18.95" customHeight="1">
      <c r="A2" s="38"/>
      <c r="B2" s="39"/>
    </row>
    <row r="3" spans="1:13">
      <c r="A3" s="51" t="s">
        <v>130</v>
      </c>
      <c r="B3" s="51" t="s">
        <v>131</v>
      </c>
      <c r="C3" s="51" t="s">
        <v>118</v>
      </c>
      <c r="D3" s="51" t="s">
        <v>119</v>
      </c>
      <c r="E3" s="67" t="s">
        <v>48</v>
      </c>
      <c r="F3" s="67" t="s">
        <v>49</v>
      </c>
      <c r="M3" s="87"/>
    </row>
    <row r="4" spans="1:13">
      <c r="A4" s="52">
        <v>1</v>
      </c>
      <c r="B4" s="53">
        <v>30</v>
      </c>
      <c r="C4" s="54">
        <f>(0.40111873076431/$B$36*$B$38+0.40111873076431/$B$36*$B$40+0.40111873076431/$B$36*$B$41)/3</f>
        <v>0.27716190077117253</v>
      </c>
      <c r="D4" s="54">
        <f>(3.65503056274004/$B$48*$B$49+3.65503056274004/$B$48*$B$51+3.65503056274004/$B$48*$B$52)/3</f>
        <v>2.8920275496427927</v>
      </c>
      <c r="H4" s="69"/>
      <c r="M4" s="88"/>
    </row>
    <row r="5" spans="1:13">
      <c r="A5" s="52">
        <v>1</v>
      </c>
      <c r="B5" s="53">
        <v>40</v>
      </c>
      <c r="C5" s="54">
        <f t="shared" ref="C5:C6" si="0">(0.40111873076431/$B$36*$B$38+0.40111873076431/$B$36*$B$40+0.40111873076431/$B$36*$B$41)/3</f>
        <v>0.27716190077117253</v>
      </c>
      <c r="D5" s="54">
        <f>(3.65503056274004/$B$48*$B$49+3.65503056274004/$B$48*$B$51+3.65503056274004/$B$48*$B$52)/3</f>
        <v>2.8920275496427927</v>
      </c>
      <c r="M5" s="88"/>
    </row>
    <row r="6" spans="1:13">
      <c r="A6" s="52">
        <v>1</v>
      </c>
      <c r="B6" s="56">
        <v>50</v>
      </c>
      <c r="C6" s="54">
        <f t="shared" si="0"/>
        <v>0.27716190077117253</v>
      </c>
      <c r="D6" s="54">
        <f>(3.65503056274004/$B$48*$B$49+3.65503056274004/$B$48*$B$51+3.65503056274004/$B$48*$B$52)/3</f>
        <v>2.8920275496427927</v>
      </c>
      <c r="M6" s="88"/>
    </row>
    <row r="7" spans="1:13">
      <c r="A7" s="52">
        <v>1</v>
      </c>
      <c r="B7" s="56">
        <v>60</v>
      </c>
      <c r="C7" s="54">
        <f>(0.40111873076431/$B$36*$B$38+0.40111873076431/$B$36*$B$40+0.40111873076431/$B$36*$B$41)/3</f>
        <v>0.27716190077117253</v>
      </c>
      <c r="D7" s="54">
        <f>(3.65503056274004/$B$48*$B$49+3.65503056274004/$B$48*$B$51+3.65503056274004/$B$48*$B$52)/3</f>
        <v>2.8920275496427927</v>
      </c>
      <c r="M7" s="88"/>
    </row>
    <row r="8" spans="1:13">
      <c r="A8" s="52">
        <v>1</v>
      </c>
      <c r="B8" s="56">
        <v>70</v>
      </c>
      <c r="C8" s="54">
        <f>(0.399422395019369/$B$36*$B$38+0.399422395019369/$B$36*$B$40+0.399422395019369/$B$36*$B$41)/3</f>
        <v>0.27598977989185569</v>
      </c>
      <c r="D8" s="54">
        <f>(3.88907633753388/$B$48*$B$49+3.88907633753388/$B$48*$B$51+3.88907633753388/$B$48*$B$52)/3</f>
        <v>3.0772152839072788</v>
      </c>
      <c r="M8" s="88"/>
    </row>
    <row r="9" spans="1:13">
      <c r="A9" s="52">
        <v>1</v>
      </c>
      <c r="B9" s="56">
        <v>80</v>
      </c>
      <c r="C9" s="54">
        <f>(0.43053165820096/$B$36*$B$38+0.43053165820096/$B$36*$B$40+0.43053165820096/$B$36*$B$41)/3</f>
        <v>0.29748541660413558</v>
      </c>
      <c r="D9" s="54">
        <f>(3.89670726290083/$B$48*$B$49+3.89670726290083/$B$48*$B$51+3.89670726290083/$B$48*$B$52)/3</f>
        <v>3.0832532214871891</v>
      </c>
      <c r="M9" s="88"/>
    </row>
    <row r="10" spans="1:13">
      <c r="A10" s="52">
        <v>1</v>
      </c>
      <c r="B10" s="53">
        <v>90</v>
      </c>
      <c r="C10" s="54">
        <f>(0.467782996044008/$B$36*$B$38+0.467782996044008/$B$36*$B$40+0.467782996044008/$B$36*$B$41)/3</f>
        <v>0.32322505629429721</v>
      </c>
      <c r="D10" s="54">
        <f>(4.24868766628552/$B$48*$B$49+4.24868766628552/$B$48*$B$51+4.24868766628552/$B$48*$B$52)/3</f>
        <v>3.3617562342663212</v>
      </c>
      <c r="E10" s="55" t="s">
        <v>45</v>
      </c>
      <c r="F10" t="s">
        <v>44</v>
      </c>
      <c r="M10" s="88"/>
    </row>
    <row r="11" spans="1:13">
      <c r="A11" s="52">
        <v>1</v>
      </c>
      <c r="B11" s="53">
        <v>100</v>
      </c>
      <c r="C11" s="54">
        <f>(0.506791723184374/$B$36*$B$38+0.506791723184374/$B$36*$B$40+0.506791723184374/$B$36*$B$41)/3</f>
        <v>0.35017900317253625</v>
      </c>
      <c r="D11" s="54">
        <f>(4.73777456113942/$B$48*$B$49+4.73777456113942/$B$48*$B$51+4.73777456113942/$B$48*$B$52)/3</f>
        <v>3.7487441813729419</v>
      </c>
      <c r="E11" t="s">
        <v>47</v>
      </c>
      <c r="F11" t="s">
        <v>47</v>
      </c>
      <c r="M11" s="88"/>
    </row>
    <row r="12" spans="1:13">
      <c r="A12" s="52">
        <v>1</v>
      </c>
      <c r="B12" s="53">
        <v>110</v>
      </c>
      <c r="C12" s="54">
        <f>(0.552071650168228/$B$36*$B$38+0.552071650168228/$B$36*$B$40+0.552071650168228/$B$36*$B$41)/3</f>
        <v>0.3814661749426298</v>
      </c>
      <c r="D12" s="54">
        <f t="shared" ref="D12:D13" si="1">(4.73777456113942/$B$48*$B$49+4.73777456113942/$B$48*$B$51+4.73777456113942/$B$48*$B$52)/3</f>
        <v>3.7487441813729419</v>
      </c>
      <c r="M12" s="88"/>
    </row>
    <row r="13" spans="1:13">
      <c r="A13" s="52">
        <v>1</v>
      </c>
      <c r="B13" s="53">
        <v>120</v>
      </c>
      <c r="C13" s="54">
        <f>(0.602268346905348/$B$36*$B$38+0.602268346905348/$B$36*$B$40+0.602268346905348/$B$36*$B$41)/3</f>
        <v>0.41615069803529253</v>
      </c>
      <c r="D13" s="54">
        <f t="shared" si="1"/>
        <v>3.7487441813729419</v>
      </c>
      <c r="M13" s="88"/>
    </row>
    <row r="14" spans="1:13">
      <c r="A14" s="52">
        <v>1</v>
      </c>
      <c r="B14" s="53">
        <v>130</v>
      </c>
      <c r="C14" s="54">
        <f>(0.652268346905348/$B$36*$B$38+0.652268346905348/$B$36*$B$40+0.652268346905348/$B$36*$B$41)/3</f>
        <v>0.4506993091464036</v>
      </c>
      <c r="D14" s="54">
        <f>(4.73777456113942/$B$48*$B$49+4.73777456113942/$B$48*$B$51+4.73777456113942/$B$48*$B$52)/3</f>
        <v>3.7487441813729419</v>
      </c>
      <c r="M14" s="87"/>
    </row>
    <row r="15" spans="1:13">
      <c r="A15" s="57">
        <v>2</v>
      </c>
      <c r="B15" s="58">
        <v>30</v>
      </c>
      <c r="C15" s="59">
        <f>(2.16822450841626/$B$36*$B$38+2.16822450841626/$B$36*$B$40+2.16822450841626/$B$36*$B$41)/3</f>
        <v>1.4981829068570685</v>
      </c>
      <c r="D15" s="59">
        <f>(19.757060035673/$B$48*$B$49+19.757060035673/$B$48*$B$51+19.757060035673/$B$48*$B$52)/3</f>
        <v>15.632690600616684</v>
      </c>
      <c r="M15" s="88"/>
    </row>
    <row r="16" spans="1:13">
      <c r="A16" s="57">
        <v>2</v>
      </c>
      <c r="B16" s="58">
        <v>40</v>
      </c>
      <c r="C16" s="59">
        <f>(1.26211536502129/$B$36*$B$38+1.26211536502129/$B$36*$B$40+1.26211536502129/$B$36*$B$41)/3</f>
        <v>0.87208665846957201</v>
      </c>
      <c r="D16" s="59">
        <f>(11.5005106444834/$B$48*$B$49+11.5005106444834/$B$48*$B$51+11.5005106444834/$B$48*$B$52)/3</f>
        <v>9.0997306446249127</v>
      </c>
      <c r="E16" t="s">
        <v>46</v>
      </c>
      <c r="M16" s="88"/>
    </row>
    <row r="17" spans="1:13">
      <c r="A17" s="57">
        <v>2</v>
      </c>
      <c r="B17" s="60">
        <v>50</v>
      </c>
      <c r="C17" s="59">
        <f>(0.976890399427533/$B$36*$B$38+0.976890399427533/$B$36*$B$40+0.976890399427533/$B$36*$B$41)/3</f>
        <v>0.67500413015999683</v>
      </c>
      <c r="D17" s="59">
        <f>(8.90151467011137/$B$48*$B$49+8.90151467011137/$B$48*$B$51+8.90151467011137/$B$48*$B$52)/3</f>
        <v>7.0432860184382902</v>
      </c>
      <c r="F17" t="s">
        <v>380</v>
      </c>
      <c r="M17" s="88"/>
    </row>
    <row r="18" spans="1:13">
      <c r="A18" s="57">
        <v>2</v>
      </c>
      <c r="B18" s="60">
        <v>60</v>
      </c>
      <c r="C18" s="59">
        <f>(0.671763103484953/$B$36*$B$38+0.671763103484953/$B$36*$B$40+0.671763103484953/$B$36*$B$41)/3</f>
        <v>0.46416964442189462</v>
      </c>
      <c r="D18" s="59">
        <f>(6.12116684124956/$B$48*$B$49+6.12116684124956/$B$48*$B$51+6.12116684124956/$B$48*$B$52)/3</f>
        <v>4.8433475006520093</v>
      </c>
      <c r="M18" s="88"/>
    </row>
    <row r="19" spans="1:13">
      <c r="A19" s="57">
        <v>2</v>
      </c>
      <c r="B19" s="60">
        <v>70</v>
      </c>
      <c r="C19" s="59">
        <f>(0.40570624607847/$B$36*$B$38+0.40570624607847/$B$36*$B$40+0.40570624607847/$B$36*$B$41)/3</f>
        <v>0.28033174642227615</v>
      </c>
      <c r="D19" s="59">
        <f>(4.30753808654408/$B$48*$B$49+4.30753808654408/$B$48*$B$51+4.30753808654408/$B$48*$B$52)/3</f>
        <v>3.4083213816089519</v>
      </c>
      <c r="M19" s="88"/>
    </row>
    <row r="20" spans="1:13">
      <c r="A20" s="57">
        <v>2</v>
      </c>
      <c r="B20" s="60">
        <v>80</v>
      </c>
      <c r="C20" s="59">
        <f>(0.440525724842084/$B$36*$B$38+0.440525724842084/$B$36*$B$40+0.440525724842084/$B$36*$B$41)/3</f>
        <v>0.30439103904018999</v>
      </c>
      <c r="D20" s="59">
        <f>(4.37497416936558/$B$48*$B$49+4.37497416936558/$B$48*$B$51+4.37497416936558/$B$48*$B$52)/3</f>
        <v>3.4616798983195665</v>
      </c>
      <c r="M20" s="88"/>
    </row>
    <row r="21" spans="1:13">
      <c r="A21" s="57">
        <v>2</v>
      </c>
      <c r="B21" s="58">
        <v>90</v>
      </c>
      <c r="C21" s="59">
        <f>(0.476252067293028/$B$36*$B$38+0.476252067293028/$B$36*$B$40+0.476252067293028/$B$36*$B$41)/3</f>
        <v>0.32907694927539088</v>
      </c>
      <c r="D21" s="59">
        <f>(4.77857408728862/$B$48*$B$49+4.77857408728862/$B$48*$B$51+4.77857408728862/$B$48*$B$52)/3</f>
        <v>3.7810266347233186</v>
      </c>
      <c r="M21" s="88"/>
    </row>
    <row r="22" spans="1:13">
      <c r="A22" s="57">
        <v>2</v>
      </c>
      <c r="B22" s="58">
        <v>100</v>
      </c>
      <c r="C22" s="59">
        <f>(0.514258048716073/$B$36*$B$38+0.514258048716073/$B$36*$B$40+0.514258048716073/$B$36*$B$41)/3</f>
        <v>0.3553380267170087</v>
      </c>
      <c r="D22" s="59">
        <f>(5.41044885057297/$B$48*$B$49+5.41044885057297/$B$48*$B$51+5.41044885057297/$B$48*$B$52)/3</f>
        <v>4.2809948817664916</v>
      </c>
      <c r="M22" s="88"/>
    </row>
    <row r="23" spans="1:13">
      <c r="A23" s="57">
        <v>2</v>
      </c>
      <c r="B23" s="58">
        <v>110</v>
      </c>
      <c r="C23" s="59">
        <f>(0.564927024227498/$B$36*$B$38+0.564927024227498/$B$36*$B$40+0.564927024227498/$B$36*$B$41)/3</f>
        <v>0.39034888132386142</v>
      </c>
      <c r="D23" s="59">
        <f t="shared" ref="D23:D25" si="2">(5.41044885057297/$B$48*$B$49+5.41044885057297/$B$48*$B$51+5.41044885057297/$B$48*$B$52)/3</f>
        <v>4.2809948817664916</v>
      </c>
      <c r="M23" s="88"/>
    </row>
    <row r="24" spans="1:13">
      <c r="A24" s="57">
        <v>2</v>
      </c>
      <c r="B24" s="58">
        <v>120</v>
      </c>
      <c r="C24" s="59">
        <f>(0.616645177994043/$B$36*$B$38+0.616645177994043/$B$36*$B$40+0.616645177994043/$B$36*$B$41)/3</f>
        <v>0.42608468896116158</v>
      </c>
      <c r="D24" s="59">
        <f t="shared" si="2"/>
        <v>4.2809948817664916</v>
      </c>
      <c r="M24" s="88"/>
    </row>
    <row r="25" spans="1:13">
      <c r="A25" s="57">
        <v>2</v>
      </c>
      <c r="B25" s="58">
        <v>130</v>
      </c>
      <c r="C25" s="59">
        <f>(0.665445177994043/$B$36*$B$38+0.665445177994043/$B$36*$B$40+0.665445177994043/$B$36*$B$41)/3</f>
        <v>0.45980413340560605</v>
      </c>
      <c r="D25" s="59">
        <f t="shared" si="2"/>
        <v>4.2809948817664916</v>
      </c>
      <c r="M25" s="87"/>
    </row>
    <row r="26" spans="1:13">
      <c r="M26" s="88"/>
    </row>
    <row r="27" spans="1:13">
      <c r="M27" s="88"/>
    </row>
    <row r="28" spans="1:13">
      <c r="A28" s="52"/>
      <c r="B28" s="308" t="s">
        <v>626</v>
      </c>
      <c r="M28" s="88"/>
    </row>
    <row r="29" spans="1:13">
      <c r="A29" s="57"/>
      <c r="B29" s="308" t="s">
        <v>627</v>
      </c>
      <c r="M29" s="88"/>
    </row>
    <row r="30" spans="1:13">
      <c r="M30" s="87"/>
    </row>
    <row r="31" spans="1:13">
      <c r="A31" s="194" t="s">
        <v>307</v>
      </c>
      <c r="M31" s="88"/>
    </row>
    <row r="32" spans="1:13" ht="16.5" thickBot="1">
      <c r="A32" s="194" t="s">
        <v>379</v>
      </c>
      <c r="M32" s="88"/>
    </row>
    <row r="33" spans="1:2" ht="16.5" thickBot="1">
      <c r="A33" s="616" t="s">
        <v>308</v>
      </c>
      <c r="B33" s="617"/>
    </row>
    <row r="34" spans="1:2">
      <c r="A34" s="195" t="s">
        <v>211</v>
      </c>
      <c r="B34" s="196" t="s">
        <v>212</v>
      </c>
    </row>
    <row r="35" spans="1:2">
      <c r="A35" s="197">
        <v>2008</v>
      </c>
      <c r="B35" s="198">
        <v>100</v>
      </c>
    </row>
    <row r="36" spans="1:2">
      <c r="A36" s="197">
        <v>2010</v>
      </c>
      <c r="B36" s="198">
        <v>96</v>
      </c>
    </row>
    <row r="37" spans="1:2">
      <c r="A37" s="197">
        <v>2015</v>
      </c>
      <c r="B37" s="198">
        <v>87</v>
      </c>
    </row>
    <row r="38" spans="1:2">
      <c r="A38" s="197">
        <v>2020</v>
      </c>
      <c r="B38" s="198">
        <v>85</v>
      </c>
    </row>
    <row r="39" spans="1:2">
      <c r="A39" s="197">
        <v>2030</v>
      </c>
      <c r="B39" s="198">
        <v>76</v>
      </c>
    </row>
    <row r="40" spans="1:2">
      <c r="A40" s="197">
        <v>2040</v>
      </c>
      <c r="B40" s="198">
        <v>63</v>
      </c>
    </row>
    <row r="41" spans="1:2" ht="16.5" thickBot="1">
      <c r="A41" s="199">
        <v>2050</v>
      </c>
      <c r="B41" s="200">
        <v>51</v>
      </c>
    </row>
    <row r="42" spans="1:2">
      <c r="A42" s="194"/>
    </row>
    <row r="43" spans="1:2">
      <c r="A43" s="194" t="s">
        <v>213</v>
      </c>
    </row>
    <row r="44" spans="1:2" ht="16.5" thickBot="1">
      <c r="A44" s="194"/>
    </row>
    <row r="45" spans="1:2" ht="16.5" thickBot="1">
      <c r="A45" s="616" t="s">
        <v>214</v>
      </c>
      <c r="B45" s="617"/>
    </row>
    <row r="46" spans="1:2">
      <c r="A46" s="195" t="s">
        <v>211</v>
      </c>
      <c r="B46" s="196" t="s">
        <v>212</v>
      </c>
    </row>
    <row r="47" spans="1:2">
      <c r="A47" s="197">
        <v>2008</v>
      </c>
      <c r="B47" s="198">
        <v>100</v>
      </c>
    </row>
    <row r="48" spans="1:2">
      <c r="A48" s="197">
        <v>2010</v>
      </c>
      <c r="B48" s="198">
        <v>99</v>
      </c>
    </row>
    <row r="49" spans="1:2">
      <c r="A49" s="197">
        <v>2020</v>
      </c>
      <c r="B49" s="198">
        <v>92</v>
      </c>
    </row>
    <row r="50" spans="1:2">
      <c r="A50" s="197">
        <v>2030</v>
      </c>
      <c r="B50" s="198">
        <v>83</v>
      </c>
    </row>
    <row r="51" spans="1:2">
      <c r="A51" s="197">
        <v>2040</v>
      </c>
      <c r="B51" s="198">
        <v>75</v>
      </c>
    </row>
    <row r="52" spans="1:2" ht="16.5" thickBot="1">
      <c r="A52" s="199">
        <v>2050</v>
      </c>
      <c r="B52" s="200">
        <v>68</v>
      </c>
    </row>
    <row r="53" spans="1:2">
      <c r="A53" s="194"/>
    </row>
  </sheetData>
  <mergeCells count="3">
    <mergeCell ref="A1:B1"/>
    <mergeCell ref="A33:B33"/>
    <mergeCell ref="A45:B45"/>
  </mergeCells>
  <phoneticPr fontId="6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tabColor theme="7" tint="-0.249977111117893"/>
  </sheetPr>
  <dimension ref="A1:M47"/>
  <sheetViews>
    <sheetView workbookViewId="0">
      <selection activeCell="F36" sqref="F36"/>
    </sheetView>
  </sheetViews>
  <sheetFormatPr defaultColWidth="11" defaultRowHeight="15.75"/>
  <cols>
    <col min="1" max="1" width="29.875" customWidth="1"/>
    <col min="2" max="2" width="21.625" customWidth="1"/>
    <col min="3" max="3" width="12.625" bestFit="1" customWidth="1"/>
    <col min="4" max="4" width="9.5" customWidth="1"/>
    <col min="5" max="5" width="10" bestFit="1" customWidth="1"/>
    <col min="6" max="6" width="9.875" bestFit="1" customWidth="1"/>
    <col min="8" max="8" width="11.375" customWidth="1"/>
    <col min="9" max="9" width="10.875" customWidth="1"/>
  </cols>
  <sheetData>
    <row r="1" spans="1:13" ht="42.95" customHeight="1">
      <c r="A1" s="596" t="s">
        <v>22</v>
      </c>
      <c r="B1" s="597"/>
    </row>
    <row r="2" spans="1:13">
      <c r="A2" s="32" t="s">
        <v>518</v>
      </c>
      <c r="B2" s="35"/>
      <c r="H2" t="s">
        <v>203</v>
      </c>
      <c r="K2" t="s">
        <v>746</v>
      </c>
    </row>
    <row r="3" spans="1:13" ht="16.5" thickBot="1">
      <c r="A3" s="34"/>
      <c r="B3" s="35"/>
    </row>
    <row r="4" spans="1:13" ht="16.5" thickBot="1">
      <c r="A4" s="40" t="s">
        <v>29</v>
      </c>
      <c r="B4" s="41" t="s">
        <v>30</v>
      </c>
      <c r="C4" s="41" t="s">
        <v>31</v>
      </c>
      <c r="D4" s="41" t="s">
        <v>224</v>
      </c>
      <c r="E4" s="42" t="s">
        <v>92</v>
      </c>
      <c r="F4" s="42" t="s">
        <v>198</v>
      </c>
      <c r="H4" s="42" t="s">
        <v>92</v>
      </c>
      <c r="I4" s="42" t="s">
        <v>93</v>
      </c>
      <c r="J4" s="458" t="s">
        <v>656</v>
      </c>
      <c r="K4" s="42" t="s">
        <v>92</v>
      </c>
      <c r="L4" s="42" t="s">
        <v>93</v>
      </c>
    </row>
    <row r="5" spans="1:13" ht="45.75" thickBot="1">
      <c r="A5" s="139" t="s">
        <v>471</v>
      </c>
      <c r="B5" s="138" t="s">
        <v>197</v>
      </c>
      <c r="C5" s="44" t="s">
        <v>110</v>
      </c>
      <c r="D5" s="45" t="s">
        <v>230</v>
      </c>
      <c r="E5" s="566">
        <v>3.65</v>
      </c>
      <c r="F5" s="566">
        <v>0.52</v>
      </c>
      <c r="H5" s="142">
        <f>IF(A47="Vanlig väg",E5+E8,IF(A47="Bro",E6+E8,E7+E8))*M16</f>
        <v>6.26</v>
      </c>
      <c r="I5" s="141">
        <f>F5*M16</f>
        <v>0.52</v>
      </c>
      <c r="J5" s="459">
        <f>IF(A47="Vanlig väg",E5,IF(A47="Bro",E6,E7))*M16*0.5</f>
        <v>1.825</v>
      </c>
    </row>
    <row r="6" spans="1:13" ht="45.75" thickBot="1">
      <c r="A6" s="43" t="s">
        <v>472</v>
      </c>
      <c r="B6" s="138" t="s">
        <v>474</v>
      </c>
      <c r="C6" s="44" t="s">
        <v>110</v>
      </c>
      <c r="D6" s="45" t="s">
        <v>230</v>
      </c>
      <c r="E6" s="141">
        <f>E5*2</f>
        <v>7.3</v>
      </c>
      <c r="F6" s="141">
        <f>F5</f>
        <v>0.52</v>
      </c>
      <c r="H6" s="142"/>
      <c r="I6" s="141"/>
    </row>
    <row r="7" spans="1:13" ht="45.75" thickBot="1">
      <c r="A7" s="43" t="s">
        <v>473</v>
      </c>
      <c r="B7" s="138" t="s">
        <v>476</v>
      </c>
      <c r="C7" s="44" t="s">
        <v>110</v>
      </c>
      <c r="D7" s="45" t="s">
        <v>230</v>
      </c>
      <c r="E7" s="141">
        <f>E5*3.5</f>
        <v>12.775</v>
      </c>
      <c r="F7" s="141">
        <f>F5</f>
        <v>0.52</v>
      </c>
      <c r="H7" s="142"/>
      <c r="I7" s="141"/>
    </row>
    <row r="8" spans="1:13" ht="16.5" thickBot="1">
      <c r="A8" s="43"/>
      <c r="B8" s="140" t="s">
        <v>199</v>
      </c>
      <c r="C8" s="44" t="s">
        <v>110</v>
      </c>
      <c r="D8" s="45" t="s">
        <v>202</v>
      </c>
      <c r="E8" s="566">
        <v>2.61</v>
      </c>
      <c r="F8" s="566">
        <v>0.52</v>
      </c>
      <c r="H8" s="142">
        <f>E8*M16</f>
        <v>2.61</v>
      </c>
      <c r="I8" s="141">
        <f>F8*M16</f>
        <v>0.52</v>
      </c>
    </row>
    <row r="9" spans="1:13" ht="16.5" thickBot="1">
      <c r="A9" s="43"/>
      <c r="B9" s="44" t="s">
        <v>126</v>
      </c>
      <c r="C9" s="44" t="s">
        <v>110</v>
      </c>
      <c r="D9" s="45" t="s">
        <v>202</v>
      </c>
      <c r="E9" s="566">
        <v>0.52</v>
      </c>
      <c r="F9" s="566">
        <v>0.1</v>
      </c>
      <c r="K9" s="142">
        <f>E10+E9</f>
        <v>1.52</v>
      </c>
      <c r="L9" s="142">
        <f>F9</f>
        <v>0.1</v>
      </c>
    </row>
    <row r="10" spans="1:13" ht="16.5" thickBot="1">
      <c r="A10" s="43"/>
      <c r="B10" s="44" t="s">
        <v>125</v>
      </c>
      <c r="C10" s="44" t="s">
        <v>200</v>
      </c>
      <c r="D10" s="45" t="s">
        <v>17</v>
      </c>
      <c r="E10" s="567">
        <v>1</v>
      </c>
      <c r="F10" s="568" t="s">
        <v>17</v>
      </c>
      <c r="K10" s="48"/>
    </row>
    <row r="11" spans="1:13">
      <c r="K11" s="48"/>
    </row>
    <row r="12" spans="1:13">
      <c r="H12" t="s">
        <v>508</v>
      </c>
      <c r="I12" t="s">
        <v>509</v>
      </c>
      <c r="J12" s="307" t="s">
        <v>477</v>
      </c>
      <c r="K12" s="48" t="s">
        <v>512</v>
      </c>
      <c r="L12" t="s">
        <v>513</v>
      </c>
      <c r="M12" s="307" t="s">
        <v>514</v>
      </c>
    </row>
    <row r="13" spans="1:13">
      <c r="H13" t="s">
        <v>508</v>
      </c>
      <c r="I13" t="s">
        <v>510</v>
      </c>
      <c r="J13" s="307" t="s">
        <v>511</v>
      </c>
      <c r="K13" s="48" t="s">
        <v>515</v>
      </c>
      <c r="L13" t="s">
        <v>516</v>
      </c>
      <c r="M13" s="308" t="s">
        <v>517</v>
      </c>
    </row>
    <row r="14" spans="1:13">
      <c r="H14" t="s">
        <v>519</v>
      </c>
      <c r="K14" s="48" t="s">
        <v>520</v>
      </c>
    </row>
    <row r="15" spans="1:13">
      <c r="K15" s="48"/>
    </row>
    <row r="16" spans="1:13" ht="16.5" thickBot="1">
      <c r="A16" t="s">
        <v>506</v>
      </c>
      <c r="K16" s="48" t="s">
        <v>475</v>
      </c>
      <c r="L16">
        <f>'Tät trafik'!J2</f>
        <v>6</v>
      </c>
      <c r="M16">
        <f>IF(L16=6,1,IF(L16=4,0.75,1.25))</f>
        <v>1</v>
      </c>
    </row>
    <row r="17" spans="1:11" ht="16.5" thickBot="1">
      <c r="A17" s="40" t="s">
        <v>195</v>
      </c>
      <c r="B17" s="41"/>
      <c r="C17" s="41"/>
      <c r="D17" s="41"/>
      <c r="E17" s="42"/>
      <c r="F17" s="42"/>
      <c r="I17" s="69"/>
      <c r="K17" s="48"/>
    </row>
    <row r="18" spans="1:11" ht="16.5" thickBot="1">
      <c r="A18" s="43" t="s">
        <v>94</v>
      </c>
      <c r="B18" s="44" t="s">
        <v>95</v>
      </c>
      <c r="C18" s="44" t="s">
        <v>96</v>
      </c>
      <c r="D18" s="45" t="s">
        <v>202</v>
      </c>
      <c r="E18" s="141">
        <v>7.0000000000000007E-2</v>
      </c>
      <c r="F18" s="49"/>
    </row>
    <row r="19" spans="1:11" ht="16.5" thickBot="1">
      <c r="A19" s="43"/>
      <c r="B19" s="44" t="s">
        <v>97</v>
      </c>
      <c r="C19" s="44" t="s">
        <v>98</v>
      </c>
      <c r="D19" s="45" t="s">
        <v>202</v>
      </c>
      <c r="E19" s="141">
        <v>2.5000000000000001E-2</v>
      </c>
      <c r="F19" s="49"/>
    </row>
    <row r="20" spans="1:11" ht="16.5" thickBot="1">
      <c r="A20" s="46"/>
      <c r="B20" s="44"/>
      <c r="C20" s="44"/>
      <c r="D20" s="44"/>
      <c r="E20" s="49"/>
      <c r="F20" s="49"/>
    </row>
    <row r="21" spans="1:11" ht="16.5" thickBot="1">
      <c r="A21" s="43" t="s">
        <v>100</v>
      </c>
      <c r="B21" s="44" t="s">
        <v>194</v>
      </c>
      <c r="C21" s="44" t="s">
        <v>96</v>
      </c>
      <c r="D21" s="45" t="s">
        <v>202</v>
      </c>
      <c r="E21" s="141">
        <v>1.75</v>
      </c>
      <c r="F21" s="49" t="s">
        <v>101</v>
      </c>
    </row>
    <row r="22" spans="1:11" ht="16.5" thickBot="1">
      <c r="A22" s="43"/>
      <c r="B22" s="44" t="s">
        <v>102</v>
      </c>
      <c r="C22" s="44" t="s">
        <v>96</v>
      </c>
      <c r="D22" s="45" t="s">
        <v>202</v>
      </c>
      <c r="E22" s="141">
        <v>0.3</v>
      </c>
      <c r="F22" s="49" t="s">
        <v>103</v>
      </c>
    </row>
    <row r="23" spans="1:11" ht="16.5" thickBot="1">
      <c r="A23" s="43"/>
      <c r="B23" s="44" t="s">
        <v>104</v>
      </c>
      <c r="C23" s="44" t="s">
        <v>96</v>
      </c>
      <c r="D23" s="45" t="s">
        <v>202</v>
      </c>
      <c r="E23" s="141">
        <v>0.1</v>
      </c>
      <c r="F23" s="49" t="s">
        <v>106</v>
      </c>
    </row>
    <row r="24" spans="1:11" ht="16.5" thickBot="1">
      <c r="A24" s="43"/>
      <c r="B24" s="44" t="s">
        <v>107</v>
      </c>
      <c r="C24" s="44" t="s">
        <v>96</v>
      </c>
      <c r="D24" s="45" t="s">
        <v>202</v>
      </c>
      <c r="E24" s="141">
        <v>2</v>
      </c>
      <c r="F24" s="49" t="s">
        <v>105</v>
      </c>
    </row>
    <row r="25" spans="1:11" ht="16.5" thickBot="1">
      <c r="A25" s="43"/>
      <c r="B25" s="44"/>
      <c r="C25" s="44"/>
      <c r="D25" s="44"/>
      <c r="E25" s="49"/>
      <c r="F25" s="49"/>
    </row>
    <row r="26" spans="1:11" ht="30.75" thickBot="1">
      <c r="A26" s="43" t="s">
        <v>108</v>
      </c>
      <c r="B26" s="138" t="s">
        <v>507</v>
      </c>
      <c r="C26" s="44" t="s">
        <v>110</v>
      </c>
      <c r="D26" s="45" t="s">
        <v>230</v>
      </c>
      <c r="E26" s="141">
        <v>15</v>
      </c>
      <c r="F26" s="49" t="s">
        <v>111</v>
      </c>
    </row>
    <row r="27" spans="1:11" ht="16.5" thickBot="1">
      <c r="A27" s="43" t="s">
        <v>201</v>
      </c>
      <c r="B27" s="44" t="s">
        <v>109</v>
      </c>
      <c r="C27" s="44" t="s">
        <v>99</v>
      </c>
      <c r="D27" s="45" t="s">
        <v>202</v>
      </c>
      <c r="E27" s="141">
        <v>1.5</v>
      </c>
      <c r="F27" s="49" t="s">
        <v>105</v>
      </c>
    </row>
    <row r="28" spans="1:11" ht="16.5" thickBot="1">
      <c r="A28" s="43"/>
      <c r="B28" s="44" t="s">
        <v>114</v>
      </c>
      <c r="C28" s="44" t="s">
        <v>110</v>
      </c>
      <c r="D28" s="45" t="s">
        <v>230</v>
      </c>
      <c r="E28" s="141">
        <v>6</v>
      </c>
      <c r="F28" s="49" t="s">
        <v>11</v>
      </c>
    </row>
    <row r="29" spans="1:11" ht="16.5" thickBot="1">
      <c r="A29" s="43"/>
      <c r="B29" s="44" t="s">
        <v>12</v>
      </c>
      <c r="C29" s="44" t="s">
        <v>110</v>
      </c>
      <c r="D29" s="45" t="s">
        <v>230</v>
      </c>
      <c r="E29" s="141">
        <v>5</v>
      </c>
      <c r="F29" s="49" t="s">
        <v>13</v>
      </c>
    </row>
    <row r="30" spans="1:11" ht="16.5" thickBot="1">
      <c r="A30" s="43"/>
      <c r="B30" s="44" t="s">
        <v>112</v>
      </c>
      <c r="C30" s="44" t="s">
        <v>110</v>
      </c>
      <c r="D30" s="45" t="s">
        <v>202</v>
      </c>
      <c r="E30" s="141">
        <v>2</v>
      </c>
      <c r="F30" s="49" t="s">
        <v>113</v>
      </c>
    </row>
    <row r="31" spans="1:11" ht="16.5" thickBot="1">
      <c r="A31" s="43"/>
      <c r="B31" s="44"/>
      <c r="C31" s="44"/>
      <c r="D31" s="44"/>
      <c r="E31" s="49"/>
      <c r="F31" s="49"/>
    </row>
    <row r="32" spans="1:11" ht="16.5" thickBot="1">
      <c r="A32" s="43" t="s">
        <v>14</v>
      </c>
      <c r="B32" s="44" t="s">
        <v>15</v>
      </c>
      <c r="C32" s="44" t="s">
        <v>16</v>
      </c>
      <c r="D32" s="44"/>
      <c r="E32" s="45" t="s">
        <v>17</v>
      </c>
      <c r="F32" s="49" t="s">
        <v>18</v>
      </c>
    </row>
    <row r="33" spans="1:6" ht="16.5" thickBot="1">
      <c r="A33" s="43"/>
      <c r="B33" s="44" t="s">
        <v>19</v>
      </c>
      <c r="C33" s="44" t="s">
        <v>98</v>
      </c>
      <c r="D33" s="44"/>
      <c r="E33" s="45" t="s">
        <v>17</v>
      </c>
      <c r="F33" s="49" t="s">
        <v>105</v>
      </c>
    </row>
    <row r="34" spans="1:6" ht="16.5" thickBot="1">
      <c r="A34" s="43"/>
      <c r="B34" s="44"/>
      <c r="C34" s="44"/>
      <c r="D34" s="44"/>
      <c r="E34" s="49"/>
      <c r="F34" s="49"/>
    </row>
    <row r="35" spans="1:6" ht="16.5" thickBot="1">
      <c r="A35" s="43" t="s">
        <v>196</v>
      </c>
      <c r="B35" s="44" t="s">
        <v>191</v>
      </c>
      <c r="C35" s="44" t="s">
        <v>20</v>
      </c>
      <c r="D35" s="45" t="s">
        <v>202</v>
      </c>
      <c r="E35" s="49" t="s">
        <v>113</v>
      </c>
      <c r="F35" s="49" t="s">
        <v>105</v>
      </c>
    </row>
    <row r="36" spans="1:6" ht="16.5" thickBot="1">
      <c r="A36" s="43"/>
      <c r="B36" s="44" t="s">
        <v>192</v>
      </c>
      <c r="C36" s="44"/>
      <c r="D36" s="45" t="s">
        <v>202</v>
      </c>
      <c r="E36" s="49" t="s">
        <v>21</v>
      </c>
      <c r="F36" s="49" t="s">
        <v>193</v>
      </c>
    </row>
    <row r="38" spans="1:6" ht="16.5">
      <c r="A38" s="143" t="s">
        <v>124</v>
      </c>
    </row>
    <row r="43" spans="1:6">
      <c r="A43" t="s">
        <v>466</v>
      </c>
    </row>
    <row r="44" spans="1:6">
      <c r="A44" t="s">
        <v>467</v>
      </c>
    </row>
    <row r="45" spans="1:6">
      <c r="A45" t="s">
        <v>468</v>
      </c>
    </row>
    <row r="46" spans="1:6">
      <c r="A46" t="s">
        <v>469</v>
      </c>
    </row>
    <row r="47" spans="1:6">
      <c r="A47" t="str">
        <f>'MCS Indata &amp; Resultat'!C12</f>
        <v>Vanlig väg</v>
      </c>
    </row>
  </sheetData>
  <mergeCells count="1">
    <mergeCell ref="A1:B1"/>
  </mergeCells>
  <phoneticPr fontId="66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0B7AE"/>
  </sheetPr>
  <dimension ref="A1:M64"/>
  <sheetViews>
    <sheetView topLeftCell="A19" workbookViewId="0">
      <selection activeCell="F20" sqref="F20"/>
    </sheetView>
  </sheetViews>
  <sheetFormatPr defaultColWidth="8.875" defaultRowHeight="15.75"/>
  <cols>
    <col min="1" max="1" width="26.125" customWidth="1"/>
    <col min="2" max="2" width="13.25" customWidth="1"/>
    <col min="3" max="3" width="13.375" customWidth="1"/>
    <col min="4" max="5" width="15.875" customWidth="1"/>
    <col min="7" max="7" width="9.125" customWidth="1"/>
    <col min="9" max="9" width="15.375" customWidth="1"/>
    <col min="13" max="13" width="18.875" customWidth="1"/>
  </cols>
  <sheetData>
    <row r="1" spans="1:8">
      <c r="A1" s="145" t="s">
        <v>313</v>
      </c>
    </row>
    <row r="2" spans="1:8">
      <c r="A2" s="145"/>
    </row>
    <row r="3" spans="1:8">
      <c r="A3" s="301" t="s">
        <v>487</v>
      </c>
      <c r="B3" s="302" t="s">
        <v>488</v>
      </c>
      <c r="C3" s="303" t="s">
        <v>489</v>
      </c>
    </row>
    <row r="4" spans="1:8">
      <c r="A4" s="300" t="s">
        <v>228</v>
      </c>
      <c r="B4" s="263">
        <v>3.5000000000000003E-2</v>
      </c>
      <c r="C4" s="264"/>
      <c r="E4" s="266"/>
      <c r="F4" t="s">
        <v>853</v>
      </c>
    </row>
    <row r="5" spans="1:8">
      <c r="A5" s="300" t="s">
        <v>232</v>
      </c>
      <c r="B5" s="263">
        <v>1.4999999999999999E-2</v>
      </c>
      <c r="C5" s="264"/>
    </row>
    <row r="6" spans="1:8">
      <c r="A6" s="300" t="s">
        <v>321</v>
      </c>
      <c r="B6" s="263">
        <v>1.3</v>
      </c>
      <c r="C6" s="264"/>
    </row>
    <row r="7" spans="1:8">
      <c r="A7" s="300" t="s">
        <v>617</v>
      </c>
      <c r="B7" s="263">
        <v>206</v>
      </c>
      <c r="C7" s="304"/>
    </row>
    <row r="8" spans="1:8">
      <c r="A8" s="300" t="s">
        <v>618</v>
      </c>
      <c r="B8" s="263">
        <v>307</v>
      </c>
      <c r="C8" s="304"/>
    </row>
    <row r="9" spans="1:8">
      <c r="A9" s="300" t="s">
        <v>323</v>
      </c>
      <c r="B9" s="263">
        <v>1.5</v>
      </c>
      <c r="C9" s="264"/>
    </row>
    <row r="10" spans="1:8">
      <c r="A10" s="300" t="s">
        <v>324</v>
      </c>
      <c r="B10" s="263">
        <v>3.5</v>
      </c>
      <c r="C10" s="264"/>
    </row>
    <row r="11" spans="1:8">
      <c r="A11" s="262" t="s">
        <v>322</v>
      </c>
      <c r="B11" s="573">
        <v>7</v>
      </c>
      <c r="C11" s="265"/>
    </row>
    <row r="13" spans="1:8">
      <c r="A13" t="s">
        <v>309</v>
      </c>
      <c r="B13" s="254" t="str">
        <f>'MCS Indata &amp; Resultat'!C6</f>
        <v xml:space="preserve">Stockholm </v>
      </c>
    </row>
    <row r="14" spans="1:8">
      <c r="B14" s="572" t="s">
        <v>850</v>
      </c>
      <c r="C14" s="572" t="s">
        <v>851</v>
      </c>
      <c r="D14" s="572" t="s">
        <v>217</v>
      </c>
      <c r="E14" s="572" t="s">
        <v>852</v>
      </c>
    </row>
    <row r="15" spans="1:8">
      <c r="A15" t="s">
        <v>310</v>
      </c>
      <c r="B15" s="84">
        <f>VLOOKUP(B13,A23:B49,2)</f>
        <v>1.43</v>
      </c>
      <c r="C15" s="84">
        <f>VLOOKUP(B13,A23:E49,4)/B15</f>
        <v>1.1118881118881121</v>
      </c>
      <c r="D15" s="257">
        <f>(B15^(1/26)-1)*100</f>
        <v>1.3851768320930047</v>
      </c>
      <c r="E15" s="257">
        <f>(C15^(1/20)-1)*100</f>
        <v>0.53170642766988685</v>
      </c>
      <c r="H15" s="254"/>
    </row>
    <row r="16" spans="1:8">
      <c r="A16" t="s">
        <v>235</v>
      </c>
      <c r="B16" s="84">
        <f>VLOOKUP(B13,A23:C49,3)</f>
        <v>1.52</v>
      </c>
      <c r="C16" s="84">
        <f>VLOOKUP(B13,A23:E49,5)/B16</f>
        <v>1.4013157894736841</v>
      </c>
      <c r="D16" s="257">
        <f>(B16^(1/26)-1)*100</f>
        <v>1.6234615888691017</v>
      </c>
      <c r="E16" s="257">
        <f>(C16^(1/20)-1)*100</f>
        <v>1.7013694176936101</v>
      </c>
    </row>
    <row r="17" spans="1:8">
      <c r="A17" t="s">
        <v>218</v>
      </c>
      <c r="C17" s="340"/>
      <c r="D17" s="84">
        <f>D15*(1-'MCS Indata &amp; Resultat'!C18/100)+D16*'MCS Indata &amp; Resultat'!C18/100</f>
        <v>1.4042396126350924</v>
      </c>
      <c r="E17" s="340">
        <f>E15*(1-'MCS Indata &amp; Resultat'!$C$18/100)+'MCS Indata &amp; Resultat'!$C$18/100*E16</f>
        <v>0.62527946687178471</v>
      </c>
    </row>
    <row r="20" spans="1:8">
      <c r="B20" t="s">
        <v>381</v>
      </c>
      <c r="C20" t="s">
        <v>411</v>
      </c>
      <c r="D20" t="s">
        <v>381</v>
      </c>
      <c r="E20" t="s">
        <v>411</v>
      </c>
    </row>
    <row r="21" spans="1:8">
      <c r="B21" s="571" t="s">
        <v>848</v>
      </c>
      <c r="C21" s="571" t="s">
        <v>848</v>
      </c>
      <c r="D21" s="571" t="s">
        <v>849</v>
      </c>
      <c r="E21" s="571" t="s">
        <v>849</v>
      </c>
    </row>
    <row r="22" spans="1:8">
      <c r="A22" t="s">
        <v>410</v>
      </c>
      <c r="B22" t="s">
        <v>382</v>
      </c>
      <c r="C22" t="s">
        <v>382</v>
      </c>
      <c r="D22" t="s">
        <v>382</v>
      </c>
      <c r="E22" t="s">
        <v>382</v>
      </c>
    </row>
    <row r="23" spans="1:8">
      <c r="A23" s="590" t="s">
        <v>391</v>
      </c>
      <c r="B23" s="591">
        <v>1.26</v>
      </c>
      <c r="C23" s="592">
        <v>1.58</v>
      </c>
      <c r="D23" s="591">
        <v>1.47</v>
      </c>
      <c r="E23" s="593">
        <v>2.29</v>
      </c>
    </row>
    <row r="24" spans="1:8">
      <c r="A24" s="300" t="s">
        <v>400</v>
      </c>
      <c r="B24" s="575">
        <v>1.1599999999999999</v>
      </c>
      <c r="C24" s="575">
        <v>1.32</v>
      </c>
      <c r="D24" s="575">
        <v>1.3</v>
      </c>
      <c r="E24" s="584">
        <v>1.65</v>
      </c>
    </row>
    <row r="25" spans="1:8">
      <c r="A25" s="300" t="s">
        <v>390</v>
      </c>
      <c r="B25" s="575">
        <v>1.05</v>
      </c>
      <c r="C25" s="576">
        <v>1.1100000000000001</v>
      </c>
      <c r="D25" s="575">
        <v>1.1200000000000001</v>
      </c>
      <c r="E25" s="585">
        <v>1.2</v>
      </c>
      <c r="H25" s="84"/>
    </row>
    <row r="26" spans="1:8">
      <c r="A26" s="594" t="s">
        <v>401</v>
      </c>
      <c r="B26" s="576">
        <v>1.1499999999999999</v>
      </c>
      <c r="C26" s="575">
        <v>1.4</v>
      </c>
      <c r="D26" s="575">
        <v>1.29</v>
      </c>
      <c r="E26" s="584">
        <v>1.84</v>
      </c>
    </row>
    <row r="27" spans="1:8">
      <c r="A27" s="300" t="s">
        <v>404</v>
      </c>
      <c r="B27" s="575">
        <v>1.1399999999999999</v>
      </c>
      <c r="C27" s="575">
        <v>1.34</v>
      </c>
      <c r="D27" s="576">
        <v>1.2</v>
      </c>
      <c r="E27" s="584">
        <v>1.7</v>
      </c>
    </row>
    <row r="28" spans="1:8">
      <c r="A28" s="300" t="s">
        <v>387</v>
      </c>
      <c r="B28" s="575">
        <v>1.29</v>
      </c>
      <c r="C28" s="576">
        <v>1.43</v>
      </c>
      <c r="D28" s="575">
        <v>1.55</v>
      </c>
      <c r="E28" s="585">
        <v>1.92</v>
      </c>
      <c r="H28" s="84"/>
    </row>
    <row r="29" spans="1:8">
      <c r="A29" s="300" t="s">
        <v>389</v>
      </c>
      <c r="B29" s="575">
        <v>1.2</v>
      </c>
      <c r="C29" s="575">
        <v>1.39</v>
      </c>
      <c r="D29" s="576">
        <v>1.38</v>
      </c>
      <c r="E29" s="584">
        <v>1.83</v>
      </c>
    </row>
    <row r="30" spans="1:8">
      <c r="A30" s="300" t="s">
        <v>388</v>
      </c>
      <c r="B30" s="576">
        <v>1.32</v>
      </c>
      <c r="C30" s="575">
        <v>1.53</v>
      </c>
      <c r="D30" s="576">
        <v>1.61</v>
      </c>
      <c r="E30" s="584">
        <v>2.15</v>
      </c>
    </row>
    <row r="31" spans="1:8">
      <c r="A31" s="300" t="s">
        <v>397</v>
      </c>
      <c r="B31" s="575">
        <v>1.1599999999999999</v>
      </c>
      <c r="C31" s="580">
        <v>1.5</v>
      </c>
      <c r="D31" s="575">
        <v>1.28</v>
      </c>
      <c r="E31" s="586">
        <v>2.08</v>
      </c>
    </row>
    <row r="32" spans="1:8">
      <c r="A32" s="300" t="s">
        <v>408</v>
      </c>
      <c r="B32" s="575">
        <v>0.94</v>
      </c>
      <c r="C32" s="580">
        <v>1.32</v>
      </c>
      <c r="D32" s="575">
        <v>0.89</v>
      </c>
      <c r="E32" s="587">
        <v>1.66</v>
      </c>
    </row>
    <row r="33" spans="1:13">
      <c r="A33" s="300" t="s">
        <v>407</v>
      </c>
      <c r="B33" s="575">
        <v>1.0900000000000001</v>
      </c>
      <c r="C33" s="580">
        <v>1.32</v>
      </c>
      <c r="D33" s="575">
        <v>1.1299999999999999</v>
      </c>
      <c r="E33" s="587">
        <v>1.66</v>
      </c>
    </row>
    <row r="34" spans="1:13">
      <c r="A34" s="300" t="s">
        <v>409</v>
      </c>
      <c r="B34" s="576">
        <v>1.28</v>
      </c>
      <c r="C34" s="581">
        <v>1.43</v>
      </c>
      <c r="D34" s="575">
        <v>1.47</v>
      </c>
      <c r="E34" s="588">
        <v>1.92</v>
      </c>
    </row>
    <row r="35" spans="1:13">
      <c r="A35" s="300" t="s">
        <v>392</v>
      </c>
      <c r="B35" s="575">
        <v>1.37</v>
      </c>
      <c r="C35" s="575">
        <v>1.48</v>
      </c>
      <c r="D35" s="575">
        <v>1.65</v>
      </c>
      <c r="E35" s="584">
        <v>2.04</v>
      </c>
    </row>
    <row r="36" spans="1:13">
      <c r="A36" s="595" t="s">
        <v>383</v>
      </c>
      <c r="B36" s="575">
        <v>1.43</v>
      </c>
      <c r="C36" s="575">
        <v>1.52</v>
      </c>
      <c r="D36" s="575">
        <v>1.59</v>
      </c>
      <c r="E36" s="584">
        <v>2.13</v>
      </c>
    </row>
    <row r="37" spans="1:13">
      <c r="A37" s="300" t="s">
        <v>393</v>
      </c>
      <c r="B37" s="576">
        <v>1.28</v>
      </c>
      <c r="C37" s="580">
        <v>1.48</v>
      </c>
      <c r="D37" s="575">
        <v>1.45</v>
      </c>
      <c r="E37" s="586">
        <v>2.04</v>
      </c>
    </row>
    <row r="38" spans="1:13">
      <c r="A38" s="300" t="s">
        <v>385</v>
      </c>
      <c r="B38" s="575">
        <v>1.33</v>
      </c>
      <c r="C38" s="575">
        <v>1.47</v>
      </c>
      <c r="D38" s="575">
        <v>1.62</v>
      </c>
      <c r="E38" s="584">
        <v>2.02</v>
      </c>
    </row>
    <row r="39" spans="1:13">
      <c r="A39" s="300" t="s">
        <v>394</v>
      </c>
      <c r="B39" s="575">
        <v>1.3</v>
      </c>
      <c r="C39" s="580">
        <v>1.52</v>
      </c>
      <c r="D39" s="578">
        <v>1.59</v>
      </c>
      <c r="E39" s="586">
        <v>2.15</v>
      </c>
      <c r="M39" s="256"/>
    </row>
    <row r="40" spans="1:13">
      <c r="A40" s="300" t="s">
        <v>384</v>
      </c>
      <c r="B40" s="575">
        <v>1.29</v>
      </c>
      <c r="C40" s="575">
        <v>1.56</v>
      </c>
      <c r="D40" s="575">
        <v>1.52</v>
      </c>
      <c r="E40" s="584">
        <v>2.2400000000000002</v>
      </c>
    </row>
    <row r="41" spans="1:13">
      <c r="A41" s="300" t="s">
        <v>406</v>
      </c>
      <c r="B41" s="575">
        <v>0.86</v>
      </c>
      <c r="C41" s="582">
        <v>1.27</v>
      </c>
      <c r="D41" s="575">
        <v>0.79</v>
      </c>
      <c r="E41" s="587">
        <v>1.54</v>
      </c>
      <c r="H41" s="84"/>
    </row>
    <row r="42" spans="1:13">
      <c r="A42" s="300" t="s">
        <v>405</v>
      </c>
      <c r="B42" s="576">
        <v>1.1299999999999999</v>
      </c>
      <c r="C42" s="582">
        <v>1.27</v>
      </c>
      <c r="D42" s="576">
        <v>1.19</v>
      </c>
      <c r="E42" s="587">
        <v>1.54</v>
      </c>
      <c r="H42" s="84"/>
    </row>
    <row r="43" spans="1:13">
      <c r="A43" s="300" t="s">
        <v>403</v>
      </c>
      <c r="B43" s="575">
        <v>1</v>
      </c>
      <c r="C43" s="580">
        <v>1.29</v>
      </c>
      <c r="D43" s="575">
        <v>1.02</v>
      </c>
      <c r="E43" s="586">
        <v>1.58</v>
      </c>
    </row>
    <row r="44" spans="1:13">
      <c r="A44" s="300" t="s">
        <v>402</v>
      </c>
      <c r="B44" s="575">
        <v>1.1399999999999999</v>
      </c>
      <c r="C44" s="580">
        <v>1.29</v>
      </c>
      <c r="D44" s="575">
        <v>1.23</v>
      </c>
      <c r="E44" s="586">
        <v>1.58</v>
      </c>
    </row>
    <row r="45" spans="1:13">
      <c r="A45" s="300" t="s">
        <v>399</v>
      </c>
      <c r="B45" s="575">
        <v>1.28</v>
      </c>
      <c r="C45" s="580">
        <v>1.5</v>
      </c>
      <c r="D45" s="575">
        <v>1.51</v>
      </c>
      <c r="E45" s="584">
        <v>2.08</v>
      </c>
    </row>
    <row r="46" spans="1:13">
      <c r="A46" s="300" t="s">
        <v>396</v>
      </c>
      <c r="B46" s="575">
        <v>1.2</v>
      </c>
      <c r="C46" s="580">
        <v>1.36</v>
      </c>
      <c r="D46" s="578">
        <v>1.34</v>
      </c>
      <c r="E46" s="586">
        <v>2.04</v>
      </c>
      <c r="M46" s="256"/>
    </row>
    <row r="47" spans="1:13">
      <c r="A47" s="300" t="s">
        <v>398</v>
      </c>
      <c r="B47" s="575">
        <v>1.25</v>
      </c>
      <c r="C47" s="575">
        <v>1.32</v>
      </c>
      <c r="D47" s="575">
        <v>1.49</v>
      </c>
      <c r="E47" s="584">
        <v>1.75</v>
      </c>
    </row>
    <row r="48" spans="1:13">
      <c r="A48" s="300" t="s">
        <v>386</v>
      </c>
      <c r="B48" s="575">
        <v>1.25</v>
      </c>
      <c r="C48" s="575">
        <v>1.41</v>
      </c>
      <c r="D48" s="575">
        <v>1.46</v>
      </c>
      <c r="E48" s="584">
        <v>1.86</v>
      </c>
    </row>
    <row r="49" spans="1:13">
      <c r="A49" s="262" t="s">
        <v>395</v>
      </c>
      <c r="B49" s="577">
        <v>1.22</v>
      </c>
      <c r="C49" s="583">
        <v>1.48</v>
      </c>
      <c r="D49" s="579">
        <v>1.39</v>
      </c>
      <c r="E49" s="589">
        <v>2.04</v>
      </c>
      <c r="M49" s="256"/>
    </row>
    <row r="53" spans="1:13">
      <c r="A53" s="324" t="s">
        <v>170</v>
      </c>
      <c r="B53" s="323" t="s">
        <v>523</v>
      </c>
      <c r="C53" s="525"/>
    </row>
    <row r="54" spans="1:13">
      <c r="A54" s="326" t="s">
        <v>171</v>
      </c>
      <c r="B54" s="325">
        <v>50.25</v>
      </c>
      <c r="C54" s="526"/>
    </row>
    <row r="55" spans="1:13">
      <c r="A55" s="326" t="s">
        <v>777</v>
      </c>
      <c r="B55" s="574">
        <v>17.8</v>
      </c>
      <c r="C55" s="526"/>
    </row>
    <row r="56" spans="1:13">
      <c r="A56" s="326" t="s">
        <v>779</v>
      </c>
      <c r="B56" s="325">
        <v>11.89</v>
      </c>
      <c r="C56" s="526"/>
    </row>
    <row r="57" spans="1:13">
      <c r="A57" s="326" t="s">
        <v>778</v>
      </c>
      <c r="B57" s="574">
        <v>4.5999999999999996</v>
      </c>
      <c r="C57" s="526"/>
    </row>
    <row r="58" spans="1:13">
      <c r="A58" s="326" t="s">
        <v>480</v>
      </c>
      <c r="B58" s="325">
        <v>1.4999999999999999E-2</v>
      </c>
      <c r="C58" s="526"/>
    </row>
    <row r="59" spans="1:13">
      <c r="A59" s="325"/>
      <c r="B59" s="325"/>
      <c r="C59" s="526"/>
    </row>
    <row r="60" spans="1:13">
      <c r="A60" s="326" t="s">
        <v>481</v>
      </c>
      <c r="B60" s="325"/>
      <c r="C60" s="526"/>
    </row>
    <row r="61" spans="1:13">
      <c r="A61" s="325" t="s">
        <v>561</v>
      </c>
      <c r="B61" s="325">
        <v>1</v>
      </c>
      <c r="C61" s="526"/>
    </row>
    <row r="62" spans="1:13">
      <c r="A62" s="325" t="s">
        <v>562</v>
      </c>
      <c r="B62" s="325">
        <v>1.7</v>
      </c>
      <c r="C62" s="526"/>
    </row>
    <row r="63" spans="1:13">
      <c r="A63" s="325" t="s">
        <v>479</v>
      </c>
      <c r="B63" s="325">
        <v>1.7</v>
      </c>
      <c r="C63" s="526"/>
    </row>
    <row r="64" spans="1:13">
      <c r="A64" s="325" t="s">
        <v>480</v>
      </c>
      <c r="B64" s="325">
        <v>7</v>
      </c>
      <c r="C64" s="526"/>
    </row>
  </sheetData>
  <phoneticPr fontId="66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showGridLines="0" topLeftCell="A3" workbookViewId="0">
      <selection activeCell="C7" sqref="C7:H7"/>
    </sheetView>
  </sheetViews>
  <sheetFormatPr defaultColWidth="8.875" defaultRowHeight="15"/>
  <cols>
    <col min="1" max="1" width="8.875" style="369"/>
    <col min="2" max="2" width="3.375" style="369" customWidth="1"/>
    <col min="3" max="3" width="9.375" style="369" customWidth="1"/>
    <col min="4" max="4" width="4.5" style="369" customWidth="1"/>
    <col min="5" max="5" width="8.875" style="369"/>
    <col min="6" max="6" width="10.5" style="369" customWidth="1"/>
    <col min="7" max="7" width="9.125" style="369" customWidth="1"/>
    <col min="8" max="8" width="8" style="369" customWidth="1"/>
    <col min="9" max="16384" width="8.875" style="369"/>
  </cols>
  <sheetData>
    <row r="2" spans="2:9" ht="15.75" thickBot="1"/>
    <row r="3" spans="2:9">
      <c r="B3" s="456"/>
      <c r="C3" s="455"/>
      <c r="D3" s="455"/>
      <c r="E3" s="455"/>
      <c r="F3" s="455"/>
      <c r="G3" s="455"/>
      <c r="H3" s="455"/>
      <c r="I3" s="454"/>
    </row>
    <row r="4" spans="2:9" ht="26.25">
      <c r="B4" s="370"/>
      <c r="C4" s="620" t="s">
        <v>657</v>
      </c>
      <c r="D4" s="620"/>
      <c r="E4" s="620"/>
      <c r="F4" s="620"/>
      <c r="G4" s="620"/>
      <c r="H4" s="620"/>
      <c r="I4" s="371"/>
    </row>
    <row r="5" spans="2:9" ht="68.25" customHeight="1">
      <c r="B5" s="370"/>
      <c r="C5" s="619" t="s">
        <v>658</v>
      </c>
      <c r="D5" s="619"/>
      <c r="E5" s="619"/>
      <c r="F5" s="619"/>
      <c r="G5" s="619"/>
      <c r="H5" s="619"/>
      <c r="I5" s="371"/>
    </row>
    <row r="6" spans="2:9" ht="69" customHeight="1">
      <c r="B6" s="370"/>
      <c r="C6" s="618" t="s">
        <v>659</v>
      </c>
      <c r="D6" s="618"/>
      <c r="E6" s="618"/>
      <c r="F6" s="618"/>
      <c r="G6" s="618"/>
      <c r="H6" s="618"/>
      <c r="I6" s="371"/>
    </row>
    <row r="7" spans="2:9" ht="53.25" customHeight="1">
      <c r="B7" s="370"/>
      <c r="C7" s="618" t="s">
        <v>660</v>
      </c>
      <c r="D7" s="618"/>
      <c r="E7" s="618"/>
      <c r="F7" s="618"/>
      <c r="G7" s="618"/>
      <c r="H7" s="618"/>
      <c r="I7" s="371"/>
    </row>
    <row r="8" spans="2:9" ht="14.25" customHeight="1" thickBot="1">
      <c r="B8" s="370"/>
      <c r="C8" s="372"/>
      <c r="D8" s="372"/>
      <c r="E8" s="372"/>
      <c r="F8" s="372"/>
      <c r="G8" s="372"/>
      <c r="H8" s="373"/>
      <c r="I8" s="371"/>
    </row>
    <row r="9" spans="2:9" ht="15.75" thickBot="1">
      <c r="B9" s="370"/>
      <c r="C9" s="453" t="s">
        <v>661</v>
      </c>
      <c r="D9" s="452"/>
      <c r="E9" s="452"/>
      <c r="F9" s="452"/>
      <c r="G9" s="451"/>
      <c r="H9" s="374"/>
      <c r="I9" s="371"/>
    </row>
    <row r="10" spans="2:9" ht="15.75" thickBot="1">
      <c r="B10" s="370"/>
      <c r="C10" s="375" t="s">
        <v>662</v>
      </c>
      <c r="D10" s="376"/>
      <c r="E10" s="376"/>
      <c r="F10" s="376"/>
      <c r="G10" s="377"/>
      <c r="H10" s="378"/>
      <c r="I10" s="371"/>
    </row>
    <row r="11" spans="2:9" ht="15.75" thickBot="1">
      <c r="B11" s="370"/>
      <c r="C11" s="375" t="s">
        <v>663</v>
      </c>
      <c r="D11" s="376"/>
      <c r="E11" s="376"/>
      <c r="F11" s="376"/>
      <c r="G11" s="377"/>
      <c r="H11" s="379"/>
      <c r="I11" s="371"/>
    </row>
    <row r="12" spans="2:9" ht="15.75" thickBot="1">
      <c r="B12" s="370"/>
      <c r="C12" s="380" t="s">
        <v>664</v>
      </c>
      <c r="D12" s="381"/>
      <c r="E12" s="381"/>
      <c r="F12" s="381"/>
      <c r="G12" s="382"/>
      <c r="H12" s="383"/>
      <c r="I12" s="371"/>
    </row>
    <row r="13" spans="2:9" ht="15.75" thickBot="1">
      <c r="B13" s="384"/>
      <c r="C13" s="385"/>
      <c r="D13" s="385"/>
      <c r="E13" s="385"/>
      <c r="F13" s="385"/>
      <c r="G13" s="385"/>
      <c r="H13" s="385"/>
      <c r="I13" s="386"/>
    </row>
  </sheetData>
  <sheetProtection algorithmName="SHA-512" hashValue="q9/Hj12nUigdz6WMjkLeNSqhKONpzMbZaRCkH+XvjFlxBqX5oD081XbL9YjsIczodsr0MUVTLuekV65j9kejUw==" saltValue="rFEsB0+3auZ6xXZc1T2KnQ==" spinCount="100000" sheet="1" objects="1" scenarios="1"/>
  <mergeCells count="4">
    <mergeCell ref="C7:H7"/>
    <mergeCell ref="C5:H5"/>
    <mergeCell ref="C4:H4"/>
    <mergeCell ref="C6:H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30"/>
  <sheetViews>
    <sheetView showGridLines="0" workbookViewId="0">
      <selection activeCell="H21" sqref="H21"/>
    </sheetView>
  </sheetViews>
  <sheetFormatPr defaultColWidth="7.625" defaultRowHeight="12.75"/>
  <cols>
    <col min="1" max="1" width="5" style="387" customWidth="1"/>
    <col min="2" max="2" width="3" style="387" customWidth="1"/>
    <col min="3" max="3" width="39.625" style="387" customWidth="1"/>
    <col min="4" max="4" width="4" style="387" customWidth="1"/>
    <col min="5" max="5" width="12.5" style="387" customWidth="1"/>
    <col min="6" max="6" width="11.125" style="387" customWidth="1"/>
    <col min="7" max="7" width="2.875" style="387" customWidth="1"/>
    <col min="8" max="9" width="7.625" style="387"/>
    <col min="10" max="10" width="8.625" style="387" bestFit="1" customWidth="1"/>
    <col min="11" max="11" width="7.625" style="387"/>
    <col min="12" max="12" width="35" style="387" customWidth="1"/>
    <col min="13" max="13" width="8.125" style="387" customWidth="1"/>
    <col min="14" max="14" width="8.875" style="387" bestFit="1" customWidth="1"/>
    <col min="15" max="16384" width="7.625" style="387"/>
  </cols>
  <sheetData>
    <row r="1" spans="2:16" ht="13.5" thickBot="1"/>
    <row r="2" spans="2:16">
      <c r="B2" s="388"/>
      <c r="C2" s="389"/>
      <c r="D2" s="389"/>
      <c r="E2" s="389"/>
      <c r="F2" s="389"/>
      <c r="G2" s="390"/>
      <c r="J2" s="388"/>
      <c r="K2" s="389"/>
      <c r="L2" s="389"/>
      <c r="M2" s="389"/>
      <c r="N2" s="389"/>
      <c r="O2" s="390"/>
    </row>
    <row r="3" spans="2:16" ht="26.25">
      <c r="B3" s="391"/>
      <c r="C3" s="621" t="s">
        <v>665</v>
      </c>
      <c r="D3" s="621"/>
      <c r="E3" s="621"/>
      <c r="F3" s="621"/>
      <c r="G3" s="392"/>
      <c r="J3" s="391"/>
      <c r="K3" s="621" t="s">
        <v>665</v>
      </c>
      <c r="L3" s="621"/>
      <c r="M3" s="621"/>
      <c r="N3" s="621"/>
      <c r="O3" s="392"/>
    </row>
    <row r="4" spans="2:16">
      <c r="B4" s="391"/>
      <c r="C4" s="393"/>
      <c r="D4" s="394"/>
      <c r="E4" s="395"/>
      <c r="F4" s="395"/>
      <c r="G4" s="392"/>
      <c r="J4" s="391"/>
      <c r="K4" s="393"/>
      <c r="L4" s="394"/>
      <c r="M4" s="395"/>
      <c r="N4" s="395"/>
      <c r="O4" s="392"/>
    </row>
    <row r="5" spans="2:16" ht="32.25" customHeight="1">
      <c r="B5" s="391"/>
      <c r="C5" s="625" t="s">
        <v>666</v>
      </c>
      <c r="D5" s="625"/>
      <c r="E5" s="625"/>
      <c r="G5" s="392"/>
      <c r="H5" s="396"/>
      <c r="J5" s="391"/>
      <c r="K5" s="625" t="s">
        <v>666</v>
      </c>
      <c r="L5" s="625"/>
      <c r="M5" s="625"/>
      <c r="O5" s="392"/>
      <c r="P5" s="396"/>
    </row>
    <row r="6" spans="2:16" ht="34.5" customHeight="1">
      <c r="B6" s="391"/>
      <c r="C6" s="625" t="s">
        <v>833</v>
      </c>
      <c r="D6" s="625"/>
      <c r="E6" s="625"/>
      <c r="G6" s="392"/>
      <c r="H6" s="396"/>
      <c r="J6" s="391"/>
      <c r="K6" s="625" t="s">
        <v>667</v>
      </c>
      <c r="L6" s="625"/>
      <c r="M6" s="625"/>
      <c r="O6" s="392"/>
      <c r="P6" s="396"/>
    </row>
    <row r="7" spans="2:16">
      <c r="B7" s="391"/>
      <c r="C7" s="397"/>
      <c r="D7" s="397"/>
      <c r="E7" s="397"/>
      <c r="F7" s="397"/>
      <c r="G7" s="392"/>
      <c r="J7" s="391"/>
      <c r="K7" s="397"/>
      <c r="L7" s="397"/>
      <c r="M7" s="397"/>
      <c r="N7" s="397"/>
      <c r="O7" s="392"/>
    </row>
    <row r="8" spans="2:16">
      <c r="B8" s="391"/>
      <c r="C8" s="397"/>
      <c r="D8" s="397"/>
      <c r="E8" s="397"/>
      <c r="F8" s="397"/>
      <c r="G8" s="392"/>
      <c r="J8" s="391"/>
      <c r="K8" s="397"/>
      <c r="L8" s="397"/>
      <c r="M8" s="397"/>
      <c r="N8" s="397"/>
      <c r="O8" s="392"/>
    </row>
    <row r="9" spans="2:16" ht="15.75" thickBot="1">
      <c r="B9" s="391"/>
      <c r="C9" s="398" t="s">
        <v>668</v>
      </c>
      <c r="D9" s="393"/>
      <c r="E9" s="397"/>
      <c r="F9" s="397"/>
      <c r="G9" s="392"/>
      <c r="J9" s="391"/>
      <c r="K9" s="398" t="s">
        <v>668</v>
      </c>
      <c r="L9" s="393"/>
      <c r="M9" s="397"/>
      <c r="N9" s="397"/>
      <c r="O9" s="392"/>
    </row>
    <row r="10" spans="2:16">
      <c r="B10" s="391"/>
      <c r="C10" s="399" t="s">
        <v>669</v>
      </c>
      <c r="D10" s="400"/>
      <c r="E10" s="401"/>
      <c r="F10" s="402">
        <f>'MCS Indata &amp; Resultat'!C42</f>
        <v>70.738</v>
      </c>
      <c r="G10" s="392"/>
      <c r="J10" s="391"/>
      <c r="K10" s="399" t="s">
        <v>669</v>
      </c>
      <c r="L10" s="400"/>
      <c r="M10" s="401"/>
      <c r="N10" s="402">
        <f>'MCS Indata &amp; Resultat'!C60</f>
        <v>17.176000000000002</v>
      </c>
      <c r="O10" s="392"/>
    </row>
    <row r="11" spans="2:16">
      <c r="B11" s="391"/>
      <c r="C11" s="622" t="s">
        <v>670</v>
      </c>
      <c r="D11" s="623"/>
      <c r="E11" s="624"/>
      <c r="F11" s="403" t="str">
        <f>'MCS Indata &amp; Resultat'!C45</f>
        <v>2019-06</v>
      </c>
      <c r="G11" s="392"/>
      <c r="J11" s="391"/>
      <c r="K11" s="622" t="s">
        <v>670</v>
      </c>
      <c r="L11" s="623"/>
      <c r="M11" s="624"/>
      <c r="N11" s="403" t="s">
        <v>820</v>
      </c>
      <c r="O11" s="392"/>
    </row>
    <row r="12" spans="2:16">
      <c r="B12" s="391"/>
      <c r="C12" s="404" t="s">
        <v>671</v>
      </c>
      <c r="D12" s="405"/>
      <c r="E12" s="406"/>
      <c r="F12" s="407" t="s">
        <v>702</v>
      </c>
      <c r="G12" s="392"/>
      <c r="J12" s="391"/>
      <c r="K12" s="404" t="s">
        <v>671</v>
      </c>
      <c r="L12" s="405"/>
      <c r="M12" s="406"/>
      <c r="N12" s="407" t="s">
        <v>702</v>
      </c>
      <c r="O12" s="392"/>
    </row>
    <row r="13" spans="2:16">
      <c r="B13" s="391"/>
      <c r="C13" s="408" t="s">
        <v>673</v>
      </c>
      <c r="D13" s="405"/>
      <c r="E13" s="406"/>
      <c r="F13" s="409">
        <f>IF(F12="väg",SUMIF(Index!$B:$B,DATE(LEFT(F11,4),RIGHT(F11,2),1),Index!$D:$D),IF(F12="järnväg",SUMIF(Index!$B:$B,DATE(LEFT(F11,4),RIGHT(F11,2),1),Index!$C:$C),0))</f>
        <v>244.89934492104123</v>
      </c>
      <c r="G13" s="392"/>
      <c r="J13" s="391"/>
      <c r="K13" s="408" t="s">
        <v>673</v>
      </c>
      <c r="L13" s="405"/>
      <c r="M13" s="406"/>
      <c r="N13" s="409">
        <f>IF(N12="väg",SUMIF(Index!$B:$B,DATE(LEFT(N11,4),RIGHT(N11,2),1),Index!$D:$D),IF(N12="järnväg",SUMIF(Index!$B:$B,DATE(LEFT(N11,4),RIGHT(N11,2),1),Index!$C:$C),0))</f>
        <v>244.89934492104123</v>
      </c>
      <c r="O13" s="392"/>
    </row>
    <row r="14" spans="2:16" ht="13.5" thickBot="1">
      <c r="B14" s="391"/>
      <c r="C14" s="410" t="s">
        <v>845</v>
      </c>
      <c r="D14" s="411"/>
      <c r="E14" s="412"/>
      <c r="F14" s="413">
        <f>IF(F12="väg",Index!D355,IF(F12="järnväg",Index!C355,0))</f>
        <v>244.89934492104123</v>
      </c>
      <c r="G14" s="392"/>
      <c r="J14" s="391"/>
      <c r="K14" s="410" t="s">
        <v>674</v>
      </c>
      <c r="L14" s="411"/>
      <c r="M14" s="412"/>
      <c r="N14" s="413">
        <f>IF(N12="väg",Index!D355,IF(N12="järnväg",Index!C355,0))</f>
        <v>244.89934492104123</v>
      </c>
      <c r="O14" s="392"/>
    </row>
    <row r="15" spans="2:16" ht="13.5" thickBot="1">
      <c r="B15" s="391"/>
      <c r="C15" s="410" t="s">
        <v>844</v>
      </c>
      <c r="D15" s="411"/>
      <c r="E15" s="412"/>
      <c r="F15" s="414">
        <f>IF(F13=0,"Index finns ej",F10*(F14/F13))</f>
        <v>70.738</v>
      </c>
      <c r="G15" s="392"/>
      <c r="J15" s="391"/>
      <c r="K15" s="410" t="s">
        <v>844</v>
      </c>
      <c r="L15" s="411"/>
      <c r="M15" s="412"/>
      <c r="N15" s="414">
        <f>IF(N13=0,"Index finns ej",N10*(N14/N13))</f>
        <v>17.176000000000002</v>
      </c>
      <c r="O15" s="392"/>
    </row>
    <row r="16" spans="2:16">
      <c r="B16" s="391"/>
      <c r="C16" s="397"/>
      <c r="D16" s="397"/>
      <c r="E16" s="397"/>
      <c r="F16" s="397"/>
      <c r="G16" s="392"/>
      <c r="J16" s="391"/>
      <c r="K16" s="397"/>
      <c r="L16" s="397"/>
      <c r="M16" s="397"/>
      <c r="N16" s="397"/>
      <c r="O16" s="392"/>
    </row>
    <row r="17" spans="2:15" ht="15.75" thickBot="1">
      <c r="B17" s="391"/>
      <c r="C17" s="398" t="s">
        <v>675</v>
      </c>
      <c r="D17" s="393"/>
      <c r="E17" s="397"/>
      <c r="F17" s="397"/>
      <c r="G17" s="392"/>
      <c r="J17" s="391"/>
      <c r="K17" s="398" t="s">
        <v>675</v>
      </c>
      <c r="L17" s="393"/>
      <c r="M17" s="397"/>
      <c r="N17" s="397"/>
      <c r="O17" s="392"/>
    </row>
    <row r="18" spans="2:15">
      <c r="B18" s="391"/>
      <c r="C18" s="415" t="s">
        <v>676</v>
      </c>
      <c r="D18" s="400"/>
      <c r="E18" s="401"/>
      <c r="F18" s="416">
        <f>F15</f>
        <v>70.738</v>
      </c>
      <c r="G18" s="392"/>
      <c r="J18" s="391"/>
      <c r="K18" s="415" t="s">
        <v>676</v>
      </c>
      <c r="L18" s="400"/>
      <c r="M18" s="401"/>
      <c r="N18" s="416">
        <f>N15</f>
        <v>17.176000000000002</v>
      </c>
      <c r="O18" s="392"/>
    </row>
    <row r="19" spans="2:15">
      <c r="B19" s="391"/>
      <c r="C19" s="404" t="s">
        <v>677</v>
      </c>
      <c r="D19" s="405"/>
      <c r="E19" s="406"/>
      <c r="F19" s="417">
        <f>Index!E307</f>
        <v>158.0080685829551</v>
      </c>
      <c r="G19" s="392"/>
      <c r="J19" s="391"/>
      <c r="K19" s="404" t="s">
        <v>677</v>
      </c>
      <c r="L19" s="405"/>
      <c r="M19" s="406"/>
      <c r="N19" s="417">
        <f>Index!E307</f>
        <v>158.0080685829551</v>
      </c>
      <c r="O19" s="392"/>
    </row>
    <row r="20" spans="2:15" ht="13.5" thickBot="1">
      <c r="B20" s="391"/>
      <c r="C20" s="418" t="s">
        <v>834</v>
      </c>
      <c r="D20" s="411"/>
      <c r="E20" s="412"/>
      <c r="F20" s="417">
        <f>AVERAGE(Index!E326:E337)</f>
        <v>162.43486300218524</v>
      </c>
      <c r="G20" s="392"/>
      <c r="J20" s="391"/>
      <c r="K20" s="418" t="s">
        <v>834</v>
      </c>
      <c r="L20" s="411"/>
      <c r="M20" s="412"/>
      <c r="N20" s="417">
        <f>AVERAGE(Index!E326:E337)</f>
        <v>162.43486300218524</v>
      </c>
      <c r="O20" s="392"/>
    </row>
    <row r="21" spans="2:15" ht="13.5" thickBot="1">
      <c r="B21" s="391"/>
      <c r="C21" s="418" t="s">
        <v>846</v>
      </c>
      <c r="D21" s="411"/>
      <c r="E21" s="412"/>
      <c r="F21" s="419">
        <f>IF(F18="Index finns ej",F18,F18*(F20/F19))</f>
        <v>72.719813880998743</v>
      </c>
      <c r="G21" s="392"/>
      <c r="J21" s="391"/>
      <c r="K21" s="418" t="s">
        <v>846</v>
      </c>
      <c r="L21" s="411"/>
      <c r="M21" s="412"/>
      <c r="N21" s="419">
        <f>IF(N18="Index finns ej",N18,N18*(N20/N19))</f>
        <v>17.657207204331964</v>
      </c>
      <c r="O21" s="392"/>
    </row>
    <row r="22" spans="2:15">
      <c r="B22" s="391"/>
      <c r="C22" s="397"/>
      <c r="D22" s="397"/>
      <c r="E22" s="397"/>
      <c r="F22" s="397"/>
      <c r="G22" s="392"/>
      <c r="J22" s="391"/>
      <c r="K22" s="397"/>
      <c r="L22" s="397"/>
      <c r="M22" s="397"/>
      <c r="N22" s="397"/>
      <c r="O22" s="392"/>
    </row>
    <row r="23" spans="2:15">
      <c r="B23" s="391"/>
      <c r="C23" s="397"/>
      <c r="D23" s="397"/>
      <c r="E23" s="397"/>
      <c r="F23" s="397"/>
      <c r="G23" s="392"/>
      <c r="J23" s="391"/>
      <c r="K23" s="397"/>
      <c r="L23" s="397"/>
      <c r="M23" s="397"/>
      <c r="N23" s="397"/>
      <c r="O23" s="392"/>
    </row>
    <row r="24" spans="2:15" ht="13.5" thickBot="1">
      <c r="B24" s="391"/>
      <c r="C24" s="393" t="s">
        <v>678</v>
      </c>
      <c r="D24" s="393"/>
      <c r="E24" s="397"/>
      <c r="F24" s="397"/>
      <c r="G24" s="392"/>
      <c r="J24" s="391"/>
      <c r="K24" s="393" t="s">
        <v>678</v>
      </c>
      <c r="L24" s="393"/>
      <c r="M24" s="397"/>
      <c r="N24" s="397"/>
      <c r="O24" s="392"/>
    </row>
    <row r="25" spans="2:15" ht="30.75" customHeight="1" thickBot="1">
      <c r="B25" s="391"/>
      <c r="C25" s="420"/>
      <c r="D25" s="421"/>
      <c r="E25" s="422" t="s">
        <v>679</v>
      </c>
      <c r="F25" s="423" t="s">
        <v>680</v>
      </c>
      <c r="G25" s="392"/>
      <c r="J25" s="391"/>
      <c r="K25" s="420"/>
      <c r="L25" s="421"/>
      <c r="M25" s="422" t="s">
        <v>679</v>
      </c>
      <c r="N25" s="423" t="s">
        <v>680</v>
      </c>
      <c r="O25" s="392"/>
    </row>
    <row r="26" spans="2:15" ht="35.25" customHeight="1">
      <c r="B26" s="391"/>
      <c r="C26" s="424" t="s">
        <v>681</v>
      </c>
      <c r="D26" s="425"/>
      <c r="E26" s="426" t="str">
        <f>F11</f>
        <v>2019-06</v>
      </c>
      <c r="F26" s="427">
        <f>F10</f>
        <v>70.738</v>
      </c>
      <c r="G26" s="392"/>
      <c r="J26" s="391"/>
      <c r="K26" s="424" t="s">
        <v>681</v>
      </c>
      <c r="L26" s="425"/>
      <c r="M26" s="426" t="str">
        <f>N11</f>
        <v>2019-06</v>
      </c>
      <c r="N26" s="427">
        <f>N10</f>
        <v>17.176000000000002</v>
      </c>
      <c r="O26" s="392"/>
    </row>
    <row r="27" spans="2:15" ht="35.25" customHeight="1">
      <c r="B27" s="391"/>
      <c r="C27" s="428" t="s">
        <v>682</v>
      </c>
      <c r="D27" s="429"/>
      <c r="E27" s="430" t="s">
        <v>683</v>
      </c>
      <c r="F27" s="431">
        <f>F15</f>
        <v>70.738</v>
      </c>
      <c r="G27" s="392"/>
      <c r="J27" s="391"/>
      <c r="K27" s="428" t="s">
        <v>682</v>
      </c>
      <c r="L27" s="429"/>
      <c r="M27" s="430" t="s">
        <v>683</v>
      </c>
      <c r="N27" s="431">
        <f>N15</f>
        <v>17.176000000000002</v>
      </c>
      <c r="O27" s="392"/>
    </row>
    <row r="28" spans="2:15" ht="35.25" customHeight="1" thickBot="1">
      <c r="B28" s="391"/>
      <c r="C28" s="432" t="s">
        <v>839</v>
      </c>
      <c r="D28" s="411"/>
      <c r="E28" s="433" t="s">
        <v>840</v>
      </c>
      <c r="F28" s="434">
        <f>F21</f>
        <v>72.719813880998743</v>
      </c>
      <c r="G28" s="392"/>
      <c r="J28" s="391"/>
      <c r="K28" s="432" t="s">
        <v>684</v>
      </c>
      <c r="L28" s="411"/>
      <c r="M28" s="433" t="s">
        <v>840</v>
      </c>
      <c r="N28" s="434">
        <f>N21</f>
        <v>17.657207204331964</v>
      </c>
      <c r="O28" s="392"/>
    </row>
    <row r="29" spans="2:15">
      <c r="B29" s="391"/>
      <c r="C29" s="397"/>
      <c r="D29" s="397"/>
      <c r="E29" s="397"/>
      <c r="F29" s="397"/>
      <c r="G29" s="392"/>
      <c r="J29" s="391"/>
      <c r="K29" s="397"/>
      <c r="L29" s="397"/>
      <c r="M29" s="397"/>
      <c r="N29" s="397"/>
      <c r="O29" s="392"/>
    </row>
    <row r="30" spans="2:15" ht="13.5" thickBot="1">
      <c r="B30" s="435"/>
      <c r="C30" s="436"/>
      <c r="D30" s="436"/>
      <c r="E30" s="436"/>
      <c r="F30" s="436"/>
      <c r="G30" s="437"/>
      <c r="J30" s="435"/>
      <c r="K30" s="436"/>
      <c r="L30" s="436"/>
      <c r="M30" s="436"/>
      <c r="N30" s="436"/>
      <c r="O30" s="437"/>
    </row>
  </sheetData>
  <dataConsolidate/>
  <mergeCells count="8">
    <mergeCell ref="C3:F3"/>
    <mergeCell ref="C11:E11"/>
    <mergeCell ref="C5:E5"/>
    <mergeCell ref="C6:E6"/>
    <mergeCell ref="K3:N3"/>
    <mergeCell ref="K5:M5"/>
    <mergeCell ref="K6:M6"/>
    <mergeCell ref="K11:M11"/>
  </mergeCells>
  <dataValidations count="1">
    <dataValidation type="list" allowBlank="1" showInputMessage="1" showErrorMessage="1" sqref="F12 N12">
      <formula1>Typ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showGridLines="0" topLeftCell="A6" workbookViewId="0">
      <selection activeCell="K15" sqref="K15"/>
    </sheetView>
  </sheetViews>
  <sheetFormatPr defaultColWidth="7.625" defaultRowHeight="12.75"/>
  <cols>
    <col min="1" max="1" width="3" style="466" customWidth="1"/>
    <col min="2" max="2" width="7.625" style="466" customWidth="1"/>
    <col min="3" max="3" width="16" style="466" customWidth="1"/>
    <col min="4" max="4" width="15.5" style="466" customWidth="1"/>
    <col min="5" max="5" width="14.625" style="466" customWidth="1"/>
    <col min="6" max="9" width="7.625" style="466"/>
    <col min="10" max="10" width="25.25" style="466" customWidth="1"/>
    <col min="11" max="11" width="16.5" style="466" customWidth="1"/>
    <col min="12" max="12" width="12.5" style="466" customWidth="1"/>
    <col min="13" max="16384" width="7.625" style="466"/>
  </cols>
  <sheetData>
    <row r="1" spans="2:13" ht="13.5" thickBot="1"/>
    <row r="2" spans="2:13">
      <c r="B2" s="467"/>
      <c r="C2" s="468"/>
      <c r="D2" s="468"/>
      <c r="E2" s="468"/>
      <c r="F2" s="469"/>
      <c r="I2" s="467"/>
      <c r="J2" s="468"/>
      <c r="K2" s="468"/>
      <c r="L2" s="468"/>
      <c r="M2" s="469"/>
    </row>
    <row r="3" spans="2:13" ht="26.25">
      <c r="B3" s="630" t="s">
        <v>685</v>
      </c>
      <c r="C3" s="631"/>
      <c r="D3" s="631"/>
      <c r="E3" s="631"/>
      <c r="F3" s="632"/>
      <c r="I3" s="630" t="s">
        <v>685</v>
      </c>
      <c r="J3" s="631"/>
      <c r="K3" s="631"/>
      <c r="L3" s="631"/>
      <c r="M3" s="632"/>
    </row>
    <row r="4" spans="2:13">
      <c r="B4" s="470"/>
      <c r="C4" s="471"/>
      <c r="D4" s="471"/>
      <c r="E4" s="471"/>
      <c r="F4" s="472"/>
      <c r="I4" s="470"/>
      <c r="J4" s="471"/>
      <c r="K4" s="471"/>
      <c r="L4" s="471"/>
      <c r="M4" s="472"/>
    </row>
    <row r="5" spans="2:13" ht="66" customHeight="1">
      <c r="B5" s="470"/>
      <c r="C5" s="629" t="s">
        <v>842</v>
      </c>
      <c r="D5" s="629"/>
      <c r="E5" s="629"/>
      <c r="F5" s="472"/>
      <c r="I5" s="470"/>
      <c r="J5" s="629" t="s">
        <v>842</v>
      </c>
      <c r="K5" s="629"/>
      <c r="L5" s="629"/>
      <c r="M5" s="472"/>
    </row>
    <row r="6" spans="2:13" ht="57" customHeight="1">
      <c r="B6" s="470"/>
      <c r="C6" s="628" t="s">
        <v>686</v>
      </c>
      <c r="D6" s="628"/>
      <c r="E6" s="628"/>
      <c r="F6" s="472"/>
      <c r="I6" s="470"/>
      <c r="J6" s="628" t="s">
        <v>686</v>
      </c>
      <c r="K6" s="628"/>
      <c r="L6" s="628"/>
      <c r="M6" s="472"/>
    </row>
    <row r="7" spans="2:13">
      <c r="B7" s="470"/>
      <c r="C7" s="471"/>
      <c r="D7" s="471"/>
      <c r="E7" s="471"/>
      <c r="F7" s="472"/>
      <c r="I7" s="470"/>
      <c r="J7" s="471"/>
      <c r="K7" s="471"/>
      <c r="L7" s="471"/>
      <c r="M7" s="472"/>
    </row>
    <row r="8" spans="2:13" ht="13.5" thickBot="1">
      <c r="B8" s="470"/>
      <c r="C8" s="471"/>
      <c r="D8" s="471"/>
      <c r="E8" s="471"/>
      <c r="F8" s="472"/>
      <c r="I8" s="470"/>
      <c r="J8" s="471"/>
      <c r="K8" s="471"/>
      <c r="L8" s="471"/>
      <c r="M8" s="472"/>
    </row>
    <row r="9" spans="2:13">
      <c r="B9" s="470"/>
      <c r="C9" s="473" t="s">
        <v>687</v>
      </c>
      <c r="D9" s="474" t="s">
        <v>688</v>
      </c>
      <c r="E9" s="475"/>
      <c r="F9" s="472"/>
      <c r="I9" s="470"/>
      <c r="J9" s="473" t="s">
        <v>687</v>
      </c>
      <c r="K9" s="474" t="s">
        <v>688</v>
      </c>
      <c r="L9" s="475"/>
      <c r="M9" s="472"/>
    </row>
    <row r="10" spans="2:13">
      <c r="B10" s="470"/>
      <c r="C10" s="476" t="s">
        <v>689</v>
      </c>
      <c r="D10" s="477">
        <v>3.5000000000000003E-2</v>
      </c>
      <c r="E10" s="569" t="s">
        <v>784</v>
      </c>
      <c r="F10" s="478"/>
      <c r="I10" s="470"/>
      <c r="J10" s="476" t="s">
        <v>689</v>
      </c>
      <c r="K10" s="477">
        <v>3.5000000000000003E-2</v>
      </c>
      <c r="L10" s="569" t="s">
        <v>784</v>
      </c>
      <c r="M10" s="478"/>
    </row>
    <row r="11" spans="2:13">
      <c r="B11" s="470"/>
      <c r="C11" s="476" t="s">
        <v>690</v>
      </c>
      <c r="D11" s="479">
        <v>2025</v>
      </c>
      <c r="E11" s="569" t="s">
        <v>784</v>
      </c>
      <c r="F11" s="478"/>
      <c r="H11" s="480"/>
      <c r="I11" s="470"/>
      <c r="J11" s="476" t="s">
        <v>690</v>
      </c>
      <c r="K11" s="479">
        <v>2025</v>
      </c>
      <c r="L11" s="569" t="s">
        <v>784</v>
      </c>
      <c r="M11" s="478"/>
    </row>
    <row r="12" spans="2:13">
      <c r="B12" s="470"/>
      <c r="C12" s="476" t="s">
        <v>691</v>
      </c>
      <c r="D12" s="477">
        <v>1.3</v>
      </c>
      <c r="E12" s="569" t="s">
        <v>784</v>
      </c>
      <c r="F12" s="478"/>
      <c r="I12" s="470"/>
      <c r="J12" s="476" t="s">
        <v>691</v>
      </c>
      <c r="K12" s="477">
        <v>1.3</v>
      </c>
      <c r="L12" s="569" t="s">
        <v>784</v>
      </c>
      <c r="M12" s="478"/>
    </row>
    <row r="13" spans="2:13" ht="13.5" thickBot="1">
      <c r="B13" s="470"/>
      <c r="C13" s="481" t="s">
        <v>692</v>
      </c>
      <c r="D13" s="482">
        <v>1</v>
      </c>
      <c r="E13" s="569" t="s">
        <v>784</v>
      </c>
      <c r="F13" s="478"/>
      <c r="I13" s="470"/>
      <c r="J13" s="481" t="s">
        <v>692</v>
      </c>
      <c r="K13" s="482">
        <v>1</v>
      </c>
      <c r="L13" s="569" t="s">
        <v>784</v>
      </c>
      <c r="M13" s="478"/>
    </row>
    <row r="14" spans="2:13" ht="13.5" thickBot="1">
      <c r="B14" s="470"/>
      <c r="C14" s="471"/>
      <c r="D14" s="471"/>
      <c r="E14" s="471"/>
      <c r="F14" s="472"/>
      <c r="I14" s="470"/>
      <c r="J14" s="471"/>
      <c r="K14" s="471"/>
      <c r="L14" s="471"/>
      <c r="M14" s="472"/>
    </row>
    <row r="15" spans="2:13" ht="44.45" customHeight="1">
      <c r="B15" s="470"/>
      <c r="C15" s="483" t="s">
        <v>693</v>
      </c>
      <c r="D15" s="570" t="s">
        <v>785</v>
      </c>
      <c r="E15" s="484" t="s">
        <v>694</v>
      </c>
      <c r="F15" s="472"/>
      <c r="I15" s="470"/>
      <c r="J15" s="483" t="s">
        <v>693</v>
      </c>
      <c r="K15" s="570" t="s">
        <v>785</v>
      </c>
      <c r="L15" s="484" t="s">
        <v>694</v>
      </c>
      <c r="M15" s="472"/>
    </row>
    <row r="16" spans="2:13">
      <c r="B16" s="485"/>
      <c r="C16" s="486">
        <f>D11</f>
        <v>2025</v>
      </c>
      <c r="D16" s="626" t="s">
        <v>695</v>
      </c>
      <c r="E16" s="627"/>
      <c r="F16" s="472"/>
      <c r="I16" s="485"/>
      <c r="J16" s="486">
        <f>K11</f>
        <v>2025</v>
      </c>
      <c r="K16" s="626" t="s">
        <v>695</v>
      </c>
      <c r="L16" s="627"/>
      <c r="M16" s="472"/>
    </row>
    <row r="17" spans="2:13">
      <c r="B17" s="485"/>
      <c r="C17" s="487">
        <f t="shared" ref="C17:C26" si="0">C16-1</f>
        <v>2024</v>
      </c>
      <c r="D17" s="488">
        <f>IF(D13=1,'Indexomräkning kostnad'!F28,IF(D13=2,'Indexomräkning kostnad'!F28*0.5,IF('Kapitaliserad inv kost'!D13=3,'Indexomräkning kostnad'!F28*0.25,IF('Kapitaliserad inv kost'!D13=4,'Indexomräkning kostnad'!F28*0.25,IF('Kapitaliserad inv kost'!D13=5,'Indexomräkning kostnad'!F28*0.2,IF('Kapitaliserad inv kost'!D13=6,'Indexomräkning kostnad'!F28*1/6,IF('Kapitaliserad inv kost'!D13=7,'Indexomräkning kostnad'!F28*1/7,IF('Kapitaliserad inv kost'!D13=8,'Indexomräkning kostnad'!F28*1/8,IF('Kapitaliserad inv kost'!D13=9,'Indexomräkning kostnad'!F28*1/9,IF('Kapitaliserad inv kost'!D13=10,'Indexomräkning kostnad'!F28*1/10,0))))))))))</f>
        <v>72.719813880998743</v>
      </c>
      <c r="E17" s="489">
        <f t="shared" ref="E17:E26" si="1">D17*(1+$D$10)^(D$11-C17)</f>
        <v>75.265007366833686</v>
      </c>
      <c r="F17" s="472"/>
      <c r="I17" s="485"/>
      <c r="J17" s="487">
        <f t="shared" ref="J17:J26" si="2">J16-1</f>
        <v>2024</v>
      </c>
      <c r="K17" s="488">
        <f>IF(D13=1,'Indexomräkning kostnad'!N28,IF(D13=2,'Indexomräkning kostnad'!N28*0.5,IF('Kapitaliserad inv kost'!D13=3,'Indexomräkning kostnad'!N28*0.25,IF('Kapitaliserad inv kost'!D13=4,'Indexomräkning kostnad'!N28*0.25,IF('Kapitaliserad inv kost'!D13=5,'Indexomräkning kostnad'!N28*0.2,IF('Kapitaliserad inv kost'!D13=6,'Indexomräkning kostnad'!N28*1/6,IF('Kapitaliserad inv kost'!D13=7,'Indexomräkning kostnad'!N28*1/7,IF('Kapitaliserad inv kost'!D13=8,'Indexomräkning kostnad'!N28*1/8,IF('Kapitaliserad inv kost'!D13=9,'Indexomräkning kostnad'!N28*1/9,IF('Kapitaliserad inv kost'!D13=10,'Indexomräkning kostnad'!N28*1/10,0))))))))))</f>
        <v>17.657207204331964</v>
      </c>
      <c r="L17" s="489">
        <f t="shared" ref="L17:L26" si="3">K17*(1+$D$10)^(K$11-J17)</f>
        <v>18.27520945648358</v>
      </c>
      <c r="M17" s="472"/>
    </row>
    <row r="18" spans="2:13">
      <c r="B18" s="485"/>
      <c r="C18" s="487">
        <f t="shared" si="0"/>
        <v>2023</v>
      </c>
      <c r="D18" s="488">
        <f>IF(D13=2,'Indexomräkning kostnad'!N28*0.5,IF('Kapitaliserad inv kost'!D13=3,'Indexomräkning kostnad'!N28*0.5,IF('Kapitaliserad inv kost'!D13=4,'Indexomräkning kostnad'!N28*0.25,IF('Kapitaliserad inv kost'!D13=5,'Indexomräkning kostnad'!N28*0.2,IF('Kapitaliserad inv kost'!D13=6,'Indexomräkning kostnad'!N28*1/6,IF('Kapitaliserad inv kost'!D13=7,'Indexomräkning kostnad'!N28*1/7,IF('Kapitaliserad inv kost'!D13=8,'Indexomräkning kostnad'!N28*1/8,IF('Kapitaliserad inv kost'!D13=9,'Indexomräkning kostnad'!N28*1/9,IF('Kapitaliserad inv kost'!D13=10,'Indexomräkning kostnad'!N28*1/10,0)))))))))</f>
        <v>0</v>
      </c>
      <c r="E18" s="490">
        <f t="shared" si="1"/>
        <v>0</v>
      </c>
      <c r="F18" s="472"/>
      <c r="I18" s="485"/>
      <c r="J18" s="487">
        <f t="shared" si="2"/>
        <v>2023</v>
      </c>
      <c r="K18" s="488">
        <f>IF(D13=2,'Indexomräkning kostnad'!N28*0.5,IF('Kapitaliserad inv kost'!D13=3,'Indexomräkning kostnad'!N28*0.5,IF('Kapitaliserad inv kost'!D13=4,'Indexomräkning kostnad'!N28*0.25,IF('Kapitaliserad inv kost'!D13=5,'Indexomräkning kostnad'!N28*0.2,IF('Kapitaliserad inv kost'!D13=6,'Indexomräkning kostnad'!N28*1/6,IF('Kapitaliserad inv kost'!D13=7,'Indexomräkning kostnad'!N28*1/7,IF('Kapitaliserad inv kost'!D13=8,'Indexomräkning kostnad'!N28*1/8,IF('Kapitaliserad inv kost'!D13=9,'Indexomräkning kostnad'!N28*1/9,IF('Kapitaliserad inv kost'!D13=10,'Indexomräkning kostnad'!N28*1/10,0)))))))))</f>
        <v>0</v>
      </c>
      <c r="L18" s="490">
        <f t="shared" si="3"/>
        <v>0</v>
      </c>
      <c r="M18" s="472"/>
    </row>
    <row r="19" spans="2:13">
      <c r="B19" s="485"/>
      <c r="C19" s="487">
        <f t="shared" si="0"/>
        <v>2022</v>
      </c>
      <c r="D19" s="488">
        <f>IF('Kapitaliserad inv kost'!D13=3,'Indexomräkning kostnad'!N28*0.25,IF('Kapitaliserad inv kost'!D13=4,'Indexomräkning kostnad'!N28*0.25,IF('Kapitaliserad inv kost'!D13=5,'Indexomräkning kostnad'!N28*0.2,IF('Kapitaliserad inv kost'!D13=6,'Indexomräkning kostnad'!N28*1/6,IF('Kapitaliserad inv kost'!D13=7,'Indexomräkning kostnad'!N28*1/7,IF('Kapitaliserad inv kost'!D13=8,'Indexomräkning kostnad'!N28*1/8,IF('Kapitaliserad inv kost'!D13=9,'Indexomräkning kostnad'!N28*1/9,IF('Kapitaliserad inv kost'!D13=10,'Indexomräkning kostnad'!N28*1/10,0))))))))</f>
        <v>0</v>
      </c>
      <c r="E19" s="490">
        <f t="shared" si="1"/>
        <v>0</v>
      </c>
      <c r="F19" s="472"/>
      <c r="I19" s="485"/>
      <c r="J19" s="487">
        <f t="shared" si="2"/>
        <v>2022</v>
      </c>
      <c r="K19" s="488">
        <f>IF('Kapitaliserad inv kost'!D13=3,'Indexomräkning kostnad'!N28*0.25,IF('Kapitaliserad inv kost'!D13=4,'Indexomräkning kostnad'!N28*0.25,IF('Kapitaliserad inv kost'!D13=5,'Indexomräkning kostnad'!N28*0.2,IF('Kapitaliserad inv kost'!D13=6,'Indexomräkning kostnad'!N28*1/6,IF('Kapitaliserad inv kost'!D13=7,'Indexomräkning kostnad'!N28*1/7,IF('Kapitaliserad inv kost'!D13=8,'Indexomräkning kostnad'!N28*1/8,IF('Kapitaliserad inv kost'!D13=9,'Indexomräkning kostnad'!N28*1/9,IF('Kapitaliserad inv kost'!D13=10,'Indexomräkning kostnad'!N28*1/10,0))))))))</f>
        <v>0</v>
      </c>
      <c r="L19" s="490">
        <f t="shared" si="3"/>
        <v>0</v>
      </c>
      <c r="M19" s="472"/>
    </row>
    <row r="20" spans="2:13" ht="12.75" customHeight="1">
      <c r="B20" s="485"/>
      <c r="C20" s="487">
        <f t="shared" si="0"/>
        <v>2021</v>
      </c>
      <c r="D20" s="491">
        <f>IF('Kapitaliserad inv kost'!D13=4,'Indexomräkning kostnad'!N28*0.25,IF('Kapitaliserad inv kost'!D13=5,'Indexomräkning kostnad'!N28*0.2,IF('Kapitaliserad inv kost'!D13=6,'Indexomräkning kostnad'!N28*1/6,IF('Kapitaliserad inv kost'!D13=7,'Indexomräkning kostnad'!N28*1/7,IF('Kapitaliserad inv kost'!D13=8,'Indexomräkning kostnad'!N28*1/8,IF('Kapitaliserad inv kost'!D13=9,'Indexomräkning kostnad'!N28*1/9,IF('Kapitaliserad inv kost'!D13=10,'Indexomräkning kostnad'!N28*1/10,0)))))))</f>
        <v>0</v>
      </c>
      <c r="E20" s="490">
        <f t="shared" si="1"/>
        <v>0</v>
      </c>
      <c r="F20" s="472"/>
      <c r="I20" s="485"/>
      <c r="J20" s="487">
        <f t="shared" si="2"/>
        <v>2021</v>
      </c>
      <c r="K20" s="491">
        <f>IF('Kapitaliserad inv kost'!D13=4,'Indexomräkning kostnad'!N28*0.25,IF('Kapitaliserad inv kost'!D13=5,'Indexomräkning kostnad'!N28*0.2,IF('Kapitaliserad inv kost'!D13=6,'Indexomräkning kostnad'!N28*1/6,IF('Kapitaliserad inv kost'!D13=7,'Indexomräkning kostnad'!N28*1/7,IF('Kapitaliserad inv kost'!D13=8,'Indexomräkning kostnad'!N28*1/8,IF('Kapitaliserad inv kost'!D13=9,'Indexomräkning kostnad'!N28*1/9,IF('Kapitaliserad inv kost'!D13=10,'Indexomräkning kostnad'!N28*1/10,0)))))))</f>
        <v>0</v>
      </c>
      <c r="L20" s="490">
        <f t="shared" si="3"/>
        <v>0</v>
      </c>
      <c r="M20" s="472"/>
    </row>
    <row r="21" spans="2:13" ht="12.75" customHeight="1">
      <c r="B21" s="485"/>
      <c r="C21" s="487">
        <f t="shared" si="0"/>
        <v>2020</v>
      </c>
      <c r="D21" s="491">
        <f>IF('Kapitaliserad inv kost'!D13=5,'Indexomräkning kostnad'!N28*0.2,IF('Kapitaliserad inv kost'!D13=6,'Indexomräkning kostnad'!N28*1/6,IF('Kapitaliserad inv kost'!D13=7,'Indexomräkning kostnad'!N28*1/7,IF('Kapitaliserad inv kost'!D13=8,'Indexomräkning kostnad'!N28*1/8,IF('Kapitaliserad inv kost'!D13=9,'Indexomräkning kostnad'!N28*1/9,IF('Kapitaliserad inv kost'!D13=10,'Indexomräkning kostnad'!N28*1/10,0))))))</f>
        <v>0</v>
      </c>
      <c r="E21" s="490">
        <f t="shared" si="1"/>
        <v>0</v>
      </c>
      <c r="F21" s="472"/>
      <c r="G21" s="492"/>
      <c r="I21" s="485"/>
      <c r="J21" s="487">
        <f t="shared" si="2"/>
        <v>2020</v>
      </c>
      <c r="K21" s="491">
        <f>IF('Kapitaliserad inv kost'!D13=5,'Indexomräkning kostnad'!N28*0.2,IF('Kapitaliserad inv kost'!D13=6,'Indexomräkning kostnad'!N28*1/6,IF('Kapitaliserad inv kost'!D13=7,'Indexomräkning kostnad'!N28*1/7,IF('Kapitaliserad inv kost'!D13=8,'Indexomräkning kostnad'!N28*1/8,IF('Kapitaliserad inv kost'!D13=9,'Indexomräkning kostnad'!N28*1/9,IF('Kapitaliserad inv kost'!D13=10,'Indexomräkning kostnad'!N28*1/10,0))))))</f>
        <v>0</v>
      </c>
      <c r="L21" s="490">
        <f t="shared" si="3"/>
        <v>0</v>
      </c>
      <c r="M21" s="472"/>
    </row>
    <row r="22" spans="2:13">
      <c r="B22" s="485"/>
      <c r="C22" s="487">
        <f t="shared" si="0"/>
        <v>2019</v>
      </c>
      <c r="D22" s="491">
        <f>IF('Kapitaliserad inv kost'!D13=6,'Indexomräkning kostnad'!N28*1/6,IF('Kapitaliserad inv kost'!D13=7,'Indexomräkning kostnad'!N28*1/7,IF('Kapitaliserad inv kost'!D13=8,'Indexomräkning kostnad'!N28*1/8,IF('Kapitaliserad inv kost'!D13=9,'Indexomräkning kostnad'!N28*1/9,IF('Kapitaliserad inv kost'!D13=10,'Indexomräkning kostnad'!N28*1/10,0)))))</f>
        <v>0</v>
      </c>
      <c r="E22" s="490">
        <f t="shared" si="1"/>
        <v>0</v>
      </c>
      <c r="F22" s="472"/>
      <c r="I22" s="485"/>
      <c r="J22" s="487">
        <f t="shared" si="2"/>
        <v>2019</v>
      </c>
      <c r="K22" s="491">
        <f>IF('Kapitaliserad inv kost'!D13=6,'Indexomräkning kostnad'!N28*1/6,IF('Kapitaliserad inv kost'!D13=7,'Indexomräkning kostnad'!N28*1/7,IF('Kapitaliserad inv kost'!D13=8,'Indexomräkning kostnad'!N28*1/8,IF('Kapitaliserad inv kost'!D13=9,'Indexomräkning kostnad'!N28*1/9,IF('Kapitaliserad inv kost'!D13=10,'Indexomräkning kostnad'!N28*1/10,0)))))</f>
        <v>0</v>
      </c>
      <c r="L22" s="490">
        <f t="shared" si="3"/>
        <v>0</v>
      </c>
      <c r="M22" s="472"/>
    </row>
    <row r="23" spans="2:13">
      <c r="B23" s="485"/>
      <c r="C23" s="487">
        <f t="shared" si="0"/>
        <v>2018</v>
      </c>
      <c r="D23" s="491">
        <f>IF('Kapitaliserad inv kost'!D13=7,'Indexomräkning kostnad'!N28*1/7,IF('Kapitaliserad inv kost'!D13=8,'Indexomräkning kostnad'!N28*1/8,IF('Kapitaliserad inv kost'!D13=9,'Indexomräkning kostnad'!N28*1/9,IF('Kapitaliserad inv kost'!D13=10,'Indexomräkning kostnad'!N28*1/10,0))))</f>
        <v>0</v>
      </c>
      <c r="E23" s="490">
        <f t="shared" si="1"/>
        <v>0</v>
      </c>
      <c r="F23" s="472"/>
      <c r="I23" s="485"/>
      <c r="J23" s="487">
        <f t="shared" si="2"/>
        <v>2018</v>
      </c>
      <c r="K23" s="491">
        <f>IF('Kapitaliserad inv kost'!D13=7,'Indexomräkning kostnad'!N28*1/7,IF('Kapitaliserad inv kost'!D13=8,'Indexomräkning kostnad'!N28*1/8,IF('Kapitaliserad inv kost'!D13=9,'Indexomräkning kostnad'!N28*1/9,IF('Kapitaliserad inv kost'!D13=10,'Indexomräkning kostnad'!N28*1/10,0))))</f>
        <v>0</v>
      </c>
      <c r="L23" s="490">
        <f t="shared" si="3"/>
        <v>0</v>
      </c>
      <c r="M23" s="472"/>
    </row>
    <row r="24" spans="2:13">
      <c r="B24" s="485"/>
      <c r="C24" s="487">
        <f t="shared" si="0"/>
        <v>2017</v>
      </c>
      <c r="D24" s="491">
        <f>IF('Kapitaliserad inv kost'!D13=8,'Indexomräkning kostnad'!N28*1/8,IF('Kapitaliserad inv kost'!D13=9,'Indexomräkning kostnad'!N28*1/9,IF('Kapitaliserad inv kost'!D13=10,'Indexomräkning kostnad'!N28*1/10,0)))</f>
        <v>0</v>
      </c>
      <c r="E24" s="490">
        <f t="shared" si="1"/>
        <v>0</v>
      </c>
      <c r="F24" s="472"/>
      <c r="I24" s="485"/>
      <c r="J24" s="487">
        <f t="shared" si="2"/>
        <v>2017</v>
      </c>
      <c r="K24" s="491">
        <f>IF('Kapitaliserad inv kost'!D13=8,'Indexomräkning kostnad'!N28*1/8,IF('Kapitaliserad inv kost'!D13=9,'Indexomräkning kostnad'!N28*1/9,IF('Kapitaliserad inv kost'!D13=10,'Indexomräkning kostnad'!N28*1/10,0)))</f>
        <v>0</v>
      </c>
      <c r="L24" s="490">
        <f t="shared" si="3"/>
        <v>0</v>
      </c>
      <c r="M24" s="472"/>
    </row>
    <row r="25" spans="2:13">
      <c r="B25" s="485"/>
      <c r="C25" s="487">
        <f t="shared" si="0"/>
        <v>2016</v>
      </c>
      <c r="D25" s="491">
        <f>IF('Kapitaliserad inv kost'!D13=9,'Indexomräkning kostnad'!N28*1/9,IF('Kapitaliserad inv kost'!D13=10,'Indexomräkning kostnad'!N28*1/10,0))</f>
        <v>0</v>
      </c>
      <c r="E25" s="490">
        <f t="shared" si="1"/>
        <v>0</v>
      </c>
      <c r="F25" s="472"/>
      <c r="I25" s="485"/>
      <c r="J25" s="487">
        <f t="shared" si="2"/>
        <v>2016</v>
      </c>
      <c r="K25" s="491">
        <f>IF('Kapitaliserad inv kost'!D13=9,'Indexomräkning kostnad'!N28*1/9,IF('Kapitaliserad inv kost'!D13=10,'Indexomräkning kostnad'!N28*1/10,0))</f>
        <v>0</v>
      </c>
      <c r="L25" s="490">
        <f t="shared" si="3"/>
        <v>0</v>
      </c>
      <c r="M25" s="472"/>
    </row>
    <row r="26" spans="2:13">
      <c r="B26" s="485"/>
      <c r="C26" s="487">
        <f t="shared" si="0"/>
        <v>2015</v>
      </c>
      <c r="D26" s="491">
        <f>IF('Kapitaliserad inv kost'!D13=10,'Indexomräkning kostnad'!N28*1/10,0)</f>
        <v>0</v>
      </c>
      <c r="E26" s="490">
        <f t="shared" si="1"/>
        <v>0</v>
      </c>
      <c r="F26" s="472"/>
      <c r="I26" s="485"/>
      <c r="J26" s="487">
        <f t="shared" si="2"/>
        <v>2015</v>
      </c>
      <c r="K26" s="491">
        <f>IF('Kapitaliserad inv kost'!D13=10,'Indexomräkning kostnad'!N28*1/10,0)</f>
        <v>0</v>
      </c>
      <c r="L26" s="490">
        <f t="shared" si="3"/>
        <v>0</v>
      </c>
      <c r="M26" s="472"/>
    </row>
    <row r="27" spans="2:13">
      <c r="B27" s="470"/>
      <c r="C27" s="493" t="s">
        <v>556</v>
      </c>
      <c r="D27" s="494">
        <f>SUM(D16:D26)</f>
        <v>72.719813880998743</v>
      </c>
      <c r="E27" s="495">
        <f>SUM(E17:E26)</f>
        <v>75.265007366833686</v>
      </c>
      <c r="F27" s="472"/>
      <c r="I27" s="470"/>
      <c r="J27" s="493" t="s">
        <v>556</v>
      </c>
      <c r="K27" s="494">
        <f>SUM(K16:K26)</f>
        <v>17.657207204331964</v>
      </c>
      <c r="L27" s="495">
        <f>SUM(L17:L26)</f>
        <v>18.27520945648358</v>
      </c>
      <c r="M27" s="472"/>
    </row>
    <row r="28" spans="2:13" ht="14.45" customHeight="1" thickBot="1">
      <c r="B28" s="470"/>
      <c r="C28" s="496" t="s">
        <v>696</v>
      </c>
      <c r="D28" s="497"/>
      <c r="E28" s="498">
        <f>E27*D12</f>
        <v>97.844509576883794</v>
      </c>
      <c r="F28" s="472"/>
      <c r="I28" s="470"/>
      <c r="J28" s="496" t="s">
        <v>696</v>
      </c>
      <c r="K28" s="497"/>
      <c r="L28" s="498">
        <f>L27*K12</f>
        <v>23.757772293428655</v>
      </c>
      <c r="M28" s="472"/>
    </row>
    <row r="29" spans="2:13">
      <c r="B29" s="470"/>
      <c r="C29" s="471"/>
      <c r="D29" s="471"/>
      <c r="E29" s="471"/>
      <c r="F29" s="472"/>
      <c r="I29" s="470"/>
      <c r="J29" s="471"/>
      <c r="K29" s="471"/>
      <c r="L29" s="471"/>
      <c r="M29" s="472"/>
    </row>
    <row r="30" spans="2:13" ht="13.5" thickBot="1">
      <c r="B30" s="499"/>
      <c r="C30" s="500"/>
      <c r="D30" s="500"/>
      <c r="E30" s="500"/>
      <c r="F30" s="501"/>
      <c r="I30" s="499"/>
      <c r="J30" s="500"/>
      <c r="K30" s="500"/>
      <c r="L30" s="500"/>
      <c r="M30" s="501"/>
    </row>
  </sheetData>
  <mergeCells count="8">
    <mergeCell ref="D16:E16"/>
    <mergeCell ref="C6:E6"/>
    <mergeCell ref="C5:E5"/>
    <mergeCell ref="B3:F3"/>
    <mergeCell ref="I3:M3"/>
    <mergeCell ref="J5:L5"/>
    <mergeCell ref="J6:L6"/>
    <mergeCell ref="K16:L1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3"/>
  <sheetViews>
    <sheetView workbookViewId="0">
      <pane ySplit="1" topLeftCell="A301" activePane="bottomLeft" state="frozen"/>
      <selection pane="bottomLeft" activeCell="E307" sqref="E307"/>
    </sheetView>
  </sheetViews>
  <sheetFormatPr defaultColWidth="8.875" defaultRowHeight="15"/>
  <cols>
    <col min="1" max="1" width="8.875" style="369"/>
    <col min="2" max="2" width="9.375" style="369" bestFit="1" customWidth="1"/>
    <col min="3" max="4" width="8.875" style="369"/>
    <col min="5" max="5" width="10" style="369" customWidth="1"/>
    <col min="6" max="8" width="8.875" style="369"/>
    <col min="9" max="9" width="9.375" style="369" bestFit="1" customWidth="1"/>
    <col min="10" max="12" width="8.875" style="369"/>
    <col min="13" max="14" width="8.875" style="463"/>
    <col min="15" max="16384" width="8.875" style="369"/>
  </cols>
  <sheetData>
    <row r="1" spans="1:14" ht="60">
      <c r="A1" s="438" t="s">
        <v>697</v>
      </c>
      <c r="B1" s="438"/>
      <c r="C1" s="533" t="s">
        <v>698</v>
      </c>
      <c r="D1" s="534" t="s">
        <v>699</v>
      </c>
      <c r="E1" s="536" t="s">
        <v>700</v>
      </c>
      <c r="F1" s="536" t="s">
        <v>701</v>
      </c>
      <c r="J1" s="369" t="s">
        <v>702</v>
      </c>
      <c r="K1" s="369" t="s">
        <v>672</v>
      </c>
      <c r="N1" s="462" t="s">
        <v>711</v>
      </c>
    </row>
    <row r="2" spans="1:14">
      <c r="A2" s="439">
        <v>1990</v>
      </c>
      <c r="B2" s="532">
        <v>32874</v>
      </c>
      <c r="C2" s="441">
        <v>100</v>
      </c>
      <c r="D2" s="535">
        <v>100</v>
      </c>
      <c r="E2" s="443">
        <v>100</v>
      </c>
      <c r="F2" s="443">
        <v>100</v>
      </c>
      <c r="J2" s="461" t="s">
        <v>672</v>
      </c>
      <c r="M2" s="464"/>
      <c r="N2" s="540" t="s">
        <v>712</v>
      </c>
    </row>
    <row r="3" spans="1:14">
      <c r="A3" s="440"/>
      <c r="B3" s="449">
        <v>32905</v>
      </c>
      <c r="C3" s="441">
        <v>100.84</v>
      </c>
      <c r="D3" s="442">
        <v>101.11545909849748</v>
      </c>
      <c r="E3" s="443">
        <v>100.35300050428644</v>
      </c>
      <c r="F3" s="443">
        <v>100.34464475079534</v>
      </c>
      <c r="N3" s="540" t="s">
        <v>713</v>
      </c>
    </row>
    <row r="4" spans="1:14">
      <c r="A4" s="440"/>
      <c r="B4" s="449">
        <v>32933</v>
      </c>
      <c r="C4" s="441">
        <v>100.93</v>
      </c>
      <c r="D4" s="442">
        <v>100.98691151919866</v>
      </c>
      <c r="E4" s="443">
        <v>103.1265758951084</v>
      </c>
      <c r="F4" s="443">
        <v>101.26193001060446</v>
      </c>
      <c r="N4" s="540" t="s">
        <v>714</v>
      </c>
    </row>
    <row r="5" spans="1:14" ht="15" customHeight="1">
      <c r="A5" s="440"/>
      <c r="B5" s="450">
        <v>32964</v>
      </c>
      <c r="C5" s="441">
        <v>101.185</v>
      </c>
      <c r="D5" s="442">
        <v>101.16396393989984</v>
      </c>
      <c r="E5" s="443">
        <v>103.47957639939484</v>
      </c>
      <c r="F5" s="443">
        <v>101.66489925768825</v>
      </c>
      <c r="N5" s="540" t="s">
        <v>715</v>
      </c>
    </row>
    <row r="6" spans="1:14" ht="15" customHeight="1">
      <c r="A6" s="440"/>
      <c r="B6" s="449">
        <v>32994</v>
      </c>
      <c r="C6" s="441">
        <v>101.375</v>
      </c>
      <c r="D6" s="442">
        <v>101.21290818030049</v>
      </c>
      <c r="E6" s="443">
        <v>104.08472012102874</v>
      </c>
      <c r="F6" s="443">
        <v>102.00954400848357</v>
      </c>
      <c r="N6" s="540" t="s">
        <v>716</v>
      </c>
    </row>
    <row r="7" spans="1:14" ht="15" customHeight="1">
      <c r="A7" s="440"/>
      <c r="B7" s="449">
        <v>33025</v>
      </c>
      <c r="C7" s="441">
        <v>101.785</v>
      </c>
      <c r="D7" s="442">
        <v>101.12756060100168</v>
      </c>
      <c r="E7" s="443">
        <v>104.03429147755925</v>
      </c>
      <c r="F7" s="443">
        <v>101.91410392364794</v>
      </c>
      <c r="N7" s="540" t="s">
        <v>717</v>
      </c>
    </row>
    <row r="8" spans="1:14">
      <c r="A8" s="440"/>
      <c r="B8" s="449">
        <v>33055</v>
      </c>
      <c r="C8" s="441">
        <v>103.175</v>
      </c>
      <c r="D8" s="442">
        <v>102.14134424040068</v>
      </c>
      <c r="E8" s="443">
        <v>104.99243570347956</v>
      </c>
      <c r="F8" s="443">
        <v>101.99893955461295</v>
      </c>
      <c r="N8" s="540" t="s">
        <v>718</v>
      </c>
    </row>
    <row r="9" spans="1:14">
      <c r="A9" s="440"/>
      <c r="B9" s="449">
        <v>33086</v>
      </c>
      <c r="C9" s="441">
        <v>103.35</v>
      </c>
      <c r="D9" s="442">
        <v>102.07436060100169</v>
      </c>
      <c r="E9" s="443">
        <v>105.69843671205244</v>
      </c>
      <c r="F9" s="443">
        <v>102.73594909862143</v>
      </c>
      <c r="N9" s="540" t="s">
        <v>719</v>
      </c>
    </row>
    <row r="10" spans="1:14">
      <c r="A10" s="440"/>
      <c r="B10" s="449">
        <v>33117</v>
      </c>
      <c r="C10" s="441">
        <v>103.855</v>
      </c>
      <c r="D10" s="442">
        <v>102.87109515859767</v>
      </c>
      <c r="E10" s="443">
        <v>106.90872415532023</v>
      </c>
      <c r="F10" s="443">
        <v>104.02439024390245</v>
      </c>
      <c r="N10" s="540" t="s">
        <v>720</v>
      </c>
    </row>
    <row r="11" spans="1:14">
      <c r="A11" s="440"/>
      <c r="B11" s="449">
        <v>33147</v>
      </c>
      <c r="C11" s="441">
        <v>104.325</v>
      </c>
      <c r="D11" s="442">
        <v>104.2452921535893</v>
      </c>
      <c r="E11" s="443">
        <v>107.6147251638931</v>
      </c>
      <c r="F11" s="443">
        <v>104.79851537645813</v>
      </c>
      <c r="N11" s="540" t="s">
        <v>721</v>
      </c>
    </row>
    <row r="12" spans="1:14">
      <c r="A12" s="440"/>
      <c r="B12" s="449">
        <v>33178</v>
      </c>
      <c r="C12" s="441">
        <v>104.735</v>
      </c>
      <c r="D12" s="442">
        <v>104.85285943238731</v>
      </c>
      <c r="E12" s="443">
        <v>107.96772566817951</v>
      </c>
      <c r="F12" s="443">
        <v>105.28101802757159</v>
      </c>
      <c r="N12" s="540" t="s">
        <v>722</v>
      </c>
    </row>
    <row r="13" spans="1:14">
      <c r="A13" s="444"/>
      <c r="B13" s="449">
        <v>33208</v>
      </c>
      <c r="C13" s="441">
        <v>104.75</v>
      </c>
      <c r="D13" s="442">
        <v>105.05449883138564</v>
      </c>
      <c r="E13" s="443">
        <v>107.86686838124054</v>
      </c>
      <c r="F13" s="443">
        <v>105.29162248144222</v>
      </c>
      <c r="N13" s="540" t="s">
        <v>723</v>
      </c>
    </row>
    <row r="14" spans="1:14">
      <c r="A14" s="439">
        <v>1991</v>
      </c>
      <c r="B14" s="449">
        <v>33239</v>
      </c>
      <c r="C14" s="441">
        <v>108.4</v>
      </c>
      <c r="D14" s="442">
        <v>108.05330884808014</v>
      </c>
      <c r="E14" s="443">
        <v>110.43872919818456</v>
      </c>
      <c r="F14" s="443">
        <v>103.40933191940616</v>
      </c>
      <c r="N14" s="540" t="s">
        <v>724</v>
      </c>
    </row>
    <row r="15" spans="1:14">
      <c r="A15" s="440"/>
      <c r="B15" s="449">
        <v>33270</v>
      </c>
      <c r="C15" s="441">
        <v>108.655</v>
      </c>
      <c r="D15" s="442">
        <v>108.48585642737896</v>
      </c>
      <c r="E15" s="443">
        <v>113.464447806354</v>
      </c>
      <c r="F15" s="443">
        <v>106.95652173913044</v>
      </c>
      <c r="N15" s="540" t="s">
        <v>725</v>
      </c>
    </row>
    <row r="16" spans="1:14">
      <c r="A16" s="440"/>
      <c r="B16" s="449">
        <v>33298</v>
      </c>
      <c r="C16" s="441">
        <v>108.74</v>
      </c>
      <c r="D16" s="442">
        <v>108.51058096828046</v>
      </c>
      <c r="E16" s="443">
        <v>113.86787695410993</v>
      </c>
      <c r="F16" s="443">
        <v>107.38600212089078</v>
      </c>
      <c r="N16" s="540" t="s">
        <v>726</v>
      </c>
    </row>
    <row r="17" spans="1:14">
      <c r="A17" s="440"/>
      <c r="B17" s="450">
        <v>33329</v>
      </c>
      <c r="C17" s="441">
        <v>108.71</v>
      </c>
      <c r="D17" s="442">
        <v>107.5752921535893</v>
      </c>
      <c r="E17" s="443">
        <v>114.5234493192133</v>
      </c>
      <c r="F17" s="443">
        <v>107.6829268292683</v>
      </c>
      <c r="N17" s="540" t="s">
        <v>727</v>
      </c>
    </row>
    <row r="18" spans="1:14">
      <c r="A18" s="440"/>
      <c r="B18" s="449">
        <v>33359</v>
      </c>
      <c r="C18" s="441">
        <v>108.85</v>
      </c>
      <c r="D18" s="442">
        <v>107.69874791318864</v>
      </c>
      <c r="E18" s="443">
        <v>114.6243066061523</v>
      </c>
      <c r="F18" s="443">
        <v>107.90031813361611</v>
      </c>
      <c r="N18" s="540" t="s">
        <v>728</v>
      </c>
    </row>
    <row r="19" spans="1:14">
      <c r="A19" s="440"/>
      <c r="B19" s="449">
        <v>33390</v>
      </c>
      <c r="C19" s="441">
        <v>108.82</v>
      </c>
      <c r="D19" s="442">
        <v>107.66202003338898</v>
      </c>
      <c r="E19" s="443">
        <v>114.47302067574381</v>
      </c>
      <c r="F19" s="443">
        <v>107.82078472958642</v>
      </c>
      <c r="N19" s="540" t="s">
        <v>683</v>
      </c>
    </row>
    <row r="20" spans="1:14">
      <c r="A20" s="440"/>
      <c r="B20" s="449">
        <v>33420</v>
      </c>
      <c r="C20" s="441">
        <v>109.66500000000001</v>
      </c>
      <c r="D20" s="442">
        <v>108.16893155258764</v>
      </c>
      <c r="E20" s="443">
        <v>114.5234493192133</v>
      </c>
      <c r="F20" s="443">
        <v>108.65853658536587</v>
      </c>
      <c r="N20" s="540" t="s">
        <v>729</v>
      </c>
    </row>
    <row r="21" spans="1:14">
      <c r="A21" s="440"/>
      <c r="B21" s="449">
        <v>33451</v>
      </c>
      <c r="C21" s="441">
        <v>109.76</v>
      </c>
      <c r="D21" s="442">
        <v>108.16893155258764</v>
      </c>
      <c r="E21" s="443">
        <v>114.32173474533533</v>
      </c>
      <c r="F21" s="443">
        <v>108.56839872746554</v>
      </c>
      <c r="N21" s="540" t="s">
        <v>730</v>
      </c>
    </row>
    <row r="22" spans="1:14">
      <c r="A22" s="440"/>
      <c r="B22" s="449">
        <v>33482</v>
      </c>
      <c r="C22" s="441">
        <v>111.18</v>
      </c>
      <c r="D22" s="442">
        <v>110.05690217028381</v>
      </c>
      <c r="E22" s="443">
        <v>115.58245083207261</v>
      </c>
      <c r="F22" s="443">
        <v>109.63944856839873</v>
      </c>
      <c r="N22" s="540" t="s">
        <v>731</v>
      </c>
    </row>
    <row r="23" spans="1:14">
      <c r="A23" s="440"/>
      <c r="B23" s="449">
        <v>33512</v>
      </c>
      <c r="C23" s="441">
        <v>109.85</v>
      </c>
      <c r="D23" s="442">
        <v>108.25678731218697</v>
      </c>
      <c r="E23" s="443">
        <v>116.03630862329804</v>
      </c>
      <c r="F23" s="443">
        <v>110.09013785790032</v>
      </c>
      <c r="N23" s="540" t="s">
        <v>732</v>
      </c>
    </row>
    <row r="24" spans="1:14">
      <c r="A24" s="440"/>
      <c r="B24" s="449">
        <v>33543</v>
      </c>
      <c r="C24" s="441">
        <v>109.995</v>
      </c>
      <c r="D24" s="442">
        <v>108.40471519198664</v>
      </c>
      <c r="E24" s="443">
        <v>116.54059505799293</v>
      </c>
      <c r="F24" s="443">
        <v>110.65217391304347</v>
      </c>
      <c r="N24" s="540" t="s">
        <v>733</v>
      </c>
    </row>
    <row r="25" spans="1:14">
      <c r="A25" s="444"/>
      <c r="B25" s="449">
        <v>33573</v>
      </c>
      <c r="C25" s="441">
        <v>109.985</v>
      </c>
      <c r="D25" s="442">
        <v>108.50369883138565</v>
      </c>
      <c r="E25" s="443">
        <v>116.38930912758447</v>
      </c>
      <c r="F25" s="443">
        <v>110.71580063626725</v>
      </c>
      <c r="N25" s="540" t="s">
        <v>734</v>
      </c>
    </row>
    <row r="26" spans="1:14">
      <c r="A26" s="439">
        <v>1992</v>
      </c>
      <c r="B26" s="449">
        <v>33604</v>
      </c>
      <c r="C26" s="441">
        <v>110.655</v>
      </c>
      <c r="D26" s="442">
        <v>108.39609883138566</v>
      </c>
      <c r="E26" s="443">
        <v>116.1875945537065</v>
      </c>
      <c r="F26" s="443">
        <v>111.63838812301168</v>
      </c>
      <c r="N26" s="540" t="s">
        <v>735</v>
      </c>
    </row>
    <row r="27" spans="1:14">
      <c r="A27" s="440"/>
      <c r="B27" s="449">
        <v>33635</v>
      </c>
      <c r="C27" s="441">
        <v>110.84</v>
      </c>
      <c r="D27" s="442">
        <v>108.67799065108515</v>
      </c>
      <c r="E27" s="443">
        <v>116.23802319717601</v>
      </c>
      <c r="F27" s="443">
        <v>111.72322375397667</v>
      </c>
      <c r="N27" s="540" t="s">
        <v>736</v>
      </c>
    </row>
    <row r="28" spans="1:14">
      <c r="A28" s="440"/>
      <c r="B28" s="449">
        <v>33664</v>
      </c>
      <c r="C28" s="441">
        <v>110.86499999999999</v>
      </c>
      <c r="D28" s="442">
        <v>108.69635459098498</v>
      </c>
      <c r="E28" s="443">
        <v>116.79273827534038</v>
      </c>
      <c r="F28" s="443">
        <v>112.32237539766703</v>
      </c>
      <c r="N28" s="540" t="s">
        <v>737</v>
      </c>
    </row>
    <row r="29" spans="1:14">
      <c r="A29" s="440"/>
      <c r="B29" s="450">
        <v>33695</v>
      </c>
      <c r="C29" s="441">
        <v>111.48</v>
      </c>
      <c r="D29" s="442">
        <v>109.3070791318865</v>
      </c>
      <c r="E29" s="443">
        <v>117.04488149268784</v>
      </c>
      <c r="F29" s="443">
        <v>112.63520678685049</v>
      </c>
      <c r="N29" s="540" t="s">
        <v>738</v>
      </c>
    </row>
    <row r="30" spans="1:14">
      <c r="A30" s="440"/>
      <c r="B30" s="449">
        <v>33725</v>
      </c>
      <c r="C30" s="441">
        <v>111.485</v>
      </c>
      <c r="D30" s="442">
        <v>109.47235459098498</v>
      </c>
      <c r="E30" s="443">
        <v>117.14573877962681</v>
      </c>
      <c r="F30" s="443">
        <v>112.75715800636267</v>
      </c>
      <c r="N30" s="540" t="s">
        <v>739</v>
      </c>
    </row>
    <row r="31" spans="1:14">
      <c r="A31" s="440"/>
      <c r="B31" s="449">
        <v>33756</v>
      </c>
      <c r="C31" s="441">
        <v>111.485</v>
      </c>
      <c r="D31" s="442">
        <v>109.55151853088481</v>
      </c>
      <c r="E31" s="443">
        <v>116.84316691880987</v>
      </c>
      <c r="F31" s="443">
        <v>112.48674443266174</v>
      </c>
      <c r="N31" s="540" t="s">
        <v>740</v>
      </c>
    </row>
    <row r="32" spans="1:14">
      <c r="A32" s="440"/>
      <c r="B32" s="449">
        <v>33786</v>
      </c>
      <c r="C32" s="441">
        <v>112.005</v>
      </c>
      <c r="D32" s="442">
        <v>110.03937429048416</v>
      </c>
      <c r="E32" s="443">
        <v>116.69188098840139</v>
      </c>
      <c r="F32" s="443">
        <v>112.41251325556733</v>
      </c>
      <c r="N32" s="540" t="s">
        <v>741</v>
      </c>
    </row>
    <row r="33" spans="1:14">
      <c r="A33" s="440"/>
      <c r="B33" s="449">
        <v>33817</v>
      </c>
      <c r="C33" s="441">
        <v>112.11</v>
      </c>
      <c r="D33" s="442">
        <v>110.27628580968279</v>
      </c>
      <c r="E33" s="443">
        <v>116.74230963187088</v>
      </c>
      <c r="F33" s="443">
        <v>112.5556733828208</v>
      </c>
      <c r="N33" s="540" t="s">
        <v>742</v>
      </c>
    </row>
    <row r="34" spans="1:14">
      <c r="A34" s="440"/>
      <c r="B34" s="449">
        <v>33848</v>
      </c>
      <c r="C34" s="441">
        <v>112.075</v>
      </c>
      <c r="D34" s="442">
        <v>110.23955792988313</v>
      </c>
      <c r="E34" s="443">
        <v>118.45688350983359</v>
      </c>
      <c r="F34" s="443">
        <v>114.42735949098622</v>
      </c>
      <c r="N34" s="540" t="s">
        <v>743</v>
      </c>
    </row>
    <row r="35" spans="1:14">
      <c r="A35" s="440"/>
      <c r="B35" s="449">
        <v>33878</v>
      </c>
      <c r="C35" s="441">
        <v>112.33499999999999</v>
      </c>
      <c r="D35" s="442">
        <v>110.85930550918198</v>
      </c>
      <c r="E35" s="443">
        <v>118.65859808371155</v>
      </c>
      <c r="F35" s="443">
        <v>114.73488865323435</v>
      </c>
      <c r="N35" s="540" t="s">
        <v>744</v>
      </c>
    </row>
    <row r="36" spans="1:14">
      <c r="A36" s="440"/>
      <c r="B36" s="449">
        <v>33909</v>
      </c>
      <c r="C36" s="441">
        <v>111.76</v>
      </c>
      <c r="D36" s="442">
        <v>110.91439732888148</v>
      </c>
      <c r="E36" s="443">
        <v>118.10388300554713</v>
      </c>
      <c r="F36" s="443">
        <v>114.06150583244963</v>
      </c>
      <c r="N36" s="540" t="s">
        <v>745</v>
      </c>
    </row>
    <row r="37" spans="1:14">
      <c r="A37" s="444"/>
      <c r="B37" s="449">
        <v>33939</v>
      </c>
      <c r="C37" s="441">
        <v>112.43</v>
      </c>
      <c r="D37" s="442">
        <v>111.2633121869783</v>
      </c>
      <c r="E37" s="443">
        <v>118.55774079677255</v>
      </c>
      <c r="F37" s="443">
        <v>113.98197242841994</v>
      </c>
      <c r="N37" s="540" t="s">
        <v>790</v>
      </c>
    </row>
    <row r="38" spans="1:14">
      <c r="A38" s="439">
        <v>1993</v>
      </c>
      <c r="B38" s="449">
        <v>33970</v>
      </c>
      <c r="C38" s="441">
        <v>111.79</v>
      </c>
      <c r="D38" s="442">
        <v>110.34829248747914</v>
      </c>
      <c r="E38" s="443">
        <v>121.78517397881996</v>
      </c>
      <c r="F38" s="443">
        <v>116.63838812301167</v>
      </c>
      <c r="N38" s="540" t="s">
        <v>791</v>
      </c>
    </row>
    <row r="39" spans="1:14">
      <c r="A39" s="440"/>
      <c r="B39" s="449">
        <v>34001</v>
      </c>
      <c r="C39" s="441">
        <v>112.145</v>
      </c>
      <c r="D39" s="442">
        <v>110.65814824707846</v>
      </c>
      <c r="E39" s="443">
        <v>122.08774583963691</v>
      </c>
      <c r="F39" s="443">
        <v>117.16330858960764</v>
      </c>
      <c r="N39" s="540" t="s">
        <v>792</v>
      </c>
    </row>
    <row r="40" spans="1:14">
      <c r="A40" s="440"/>
      <c r="B40" s="449">
        <v>34029</v>
      </c>
      <c r="C40" s="441">
        <v>112.7</v>
      </c>
      <c r="D40" s="442">
        <v>111.1596040066778</v>
      </c>
      <c r="E40" s="443">
        <v>122.64246091780129</v>
      </c>
      <c r="F40" s="443">
        <v>117.62990455991516</v>
      </c>
      <c r="N40" s="540" t="s">
        <v>793</v>
      </c>
    </row>
    <row r="41" spans="1:14">
      <c r="A41" s="440"/>
      <c r="B41" s="450">
        <v>34060</v>
      </c>
      <c r="C41" s="441">
        <v>112.5</v>
      </c>
      <c r="D41" s="442">
        <v>110.8542203672788</v>
      </c>
      <c r="E41" s="443">
        <v>123.14674735249621</v>
      </c>
      <c r="F41" s="443">
        <v>118.16542948038177</v>
      </c>
      <c r="N41" s="540" t="s">
        <v>794</v>
      </c>
    </row>
    <row r="42" spans="1:14">
      <c r="A42" s="440"/>
      <c r="B42" s="449">
        <v>34090</v>
      </c>
      <c r="C42" s="441">
        <v>112.575</v>
      </c>
      <c r="D42" s="442">
        <v>111.26105976627713</v>
      </c>
      <c r="E42" s="443">
        <v>122.84417549167928</v>
      </c>
      <c r="F42" s="443">
        <v>118.14422057264051</v>
      </c>
      <c r="N42" s="540" t="s">
        <v>795</v>
      </c>
    </row>
    <row r="43" spans="1:14">
      <c r="A43" s="440"/>
      <c r="B43" s="449">
        <v>34121</v>
      </c>
      <c r="C43" s="441">
        <v>112.45</v>
      </c>
      <c r="D43" s="442">
        <v>111.22433188647747</v>
      </c>
      <c r="E43" s="443">
        <v>122.44074634392335</v>
      </c>
      <c r="F43" s="443">
        <v>117.73594909862143</v>
      </c>
      <c r="N43" s="540" t="s">
        <v>796</v>
      </c>
    </row>
    <row r="44" spans="1:14">
      <c r="A44" s="440"/>
      <c r="B44" s="449">
        <v>34151</v>
      </c>
      <c r="C44" s="441">
        <v>112.515</v>
      </c>
      <c r="D44" s="442">
        <v>110.4301449081803</v>
      </c>
      <c r="E44" s="443">
        <v>122.23903177004539</v>
      </c>
      <c r="F44" s="443">
        <v>117.6405090137858</v>
      </c>
      <c r="N44" s="540" t="s">
        <v>797</v>
      </c>
    </row>
    <row r="45" spans="1:14">
      <c r="A45" s="440"/>
      <c r="B45" s="449">
        <v>34182</v>
      </c>
      <c r="C45" s="441">
        <v>112.52500000000001</v>
      </c>
      <c r="D45" s="442">
        <v>110.35701368948249</v>
      </c>
      <c r="E45" s="443">
        <v>122.33988905698436</v>
      </c>
      <c r="F45" s="443">
        <v>117.75715800636269</v>
      </c>
      <c r="N45" s="540" t="s">
        <v>798</v>
      </c>
    </row>
    <row r="46" spans="1:14">
      <c r="A46" s="440"/>
      <c r="B46" s="449">
        <v>34213</v>
      </c>
      <c r="C46" s="441">
        <v>112.68</v>
      </c>
      <c r="D46" s="442">
        <v>110.48556126878131</v>
      </c>
      <c r="E46" s="443">
        <v>123.44931921331317</v>
      </c>
      <c r="F46" s="443">
        <v>118.796394485684</v>
      </c>
      <c r="N46" s="540" t="s">
        <v>799</v>
      </c>
    </row>
    <row r="47" spans="1:14">
      <c r="A47" s="440"/>
      <c r="B47" s="449">
        <v>34243</v>
      </c>
      <c r="C47" s="441">
        <v>112.89</v>
      </c>
      <c r="D47" s="442">
        <v>111.0237449081803</v>
      </c>
      <c r="E47" s="443">
        <v>123.80231971759959</v>
      </c>
      <c r="F47" s="443">
        <v>119.17285259809121</v>
      </c>
      <c r="N47" s="540" t="s">
        <v>800</v>
      </c>
    </row>
    <row r="48" spans="1:14">
      <c r="A48" s="440"/>
      <c r="B48" s="449">
        <v>34274</v>
      </c>
      <c r="C48" s="441">
        <v>112.9</v>
      </c>
      <c r="D48" s="442">
        <v>110.89378096828047</v>
      </c>
      <c r="E48" s="443">
        <v>123.85274836106908</v>
      </c>
      <c r="F48" s="443">
        <v>119.16224814422058</v>
      </c>
      <c r="N48" s="540" t="s">
        <v>801</v>
      </c>
    </row>
    <row r="49" spans="1:14">
      <c r="A49" s="444"/>
      <c r="B49" s="449">
        <v>34304</v>
      </c>
      <c r="C49" s="441">
        <v>114.22499999999999</v>
      </c>
      <c r="D49" s="442">
        <v>113.0113121869783</v>
      </c>
      <c r="E49" s="443">
        <v>123.39889056984366</v>
      </c>
      <c r="F49" s="443">
        <v>118.48886532343586</v>
      </c>
      <c r="N49" s="540" t="s">
        <v>802</v>
      </c>
    </row>
    <row r="50" spans="1:14">
      <c r="A50" s="439">
        <v>1994</v>
      </c>
      <c r="B50" s="449">
        <v>34335</v>
      </c>
      <c r="C50" s="441">
        <v>112.955</v>
      </c>
      <c r="D50" s="442">
        <v>110.08581035058431</v>
      </c>
      <c r="E50" s="443">
        <v>123.7518910741301</v>
      </c>
      <c r="F50" s="443">
        <v>118.26086956521739</v>
      </c>
      <c r="N50" s="540" t="s">
        <v>803</v>
      </c>
    </row>
    <row r="51" spans="1:14">
      <c r="A51" s="440"/>
      <c r="B51" s="449">
        <v>34366</v>
      </c>
      <c r="C51" s="441">
        <v>112.9</v>
      </c>
      <c r="D51" s="442">
        <v>109.96701035058432</v>
      </c>
      <c r="E51" s="443">
        <v>124.15532022188603</v>
      </c>
      <c r="F51" s="443">
        <v>118.5471898197243</v>
      </c>
      <c r="N51" s="540" t="s">
        <v>804</v>
      </c>
    </row>
    <row r="52" spans="1:14">
      <c r="A52" s="440"/>
      <c r="B52" s="449">
        <v>34394</v>
      </c>
      <c r="C52" s="441">
        <v>113.18</v>
      </c>
      <c r="D52" s="442">
        <v>110.48083005008348</v>
      </c>
      <c r="E52" s="443">
        <v>124.60917801311145</v>
      </c>
      <c r="F52" s="443">
        <v>118.85471898197244</v>
      </c>
      <c r="N52" s="540" t="s">
        <v>805</v>
      </c>
    </row>
    <row r="53" spans="1:14">
      <c r="A53" s="440"/>
      <c r="B53" s="450">
        <v>34425</v>
      </c>
      <c r="C53" s="441">
        <v>113.58</v>
      </c>
      <c r="D53" s="442">
        <v>111.52949248747913</v>
      </c>
      <c r="E53" s="443">
        <v>125.11346444780634</v>
      </c>
      <c r="F53" s="443">
        <v>119.26829268292683</v>
      </c>
      <c r="N53" s="540" t="s">
        <v>806</v>
      </c>
    </row>
    <row r="54" spans="1:14">
      <c r="A54" s="440"/>
      <c r="B54" s="449">
        <v>34455</v>
      </c>
      <c r="C54" s="441">
        <v>113.815</v>
      </c>
      <c r="D54" s="442">
        <v>111.75258430717862</v>
      </c>
      <c r="E54" s="443">
        <v>125.41603630862328</v>
      </c>
      <c r="F54" s="443">
        <v>119.48038176033936</v>
      </c>
      <c r="N54" s="540" t="s">
        <v>807</v>
      </c>
    </row>
    <row r="55" spans="1:14">
      <c r="A55" s="440"/>
      <c r="B55" s="449">
        <v>34486</v>
      </c>
      <c r="C55" s="441">
        <v>115.265</v>
      </c>
      <c r="D55" s="442">
        <v>112.14822036727881</v>
      </c>
      <c r="E55" s="443">
        <v>125.41603630862328</v>
      </c>
      <c r="F55" s="443">
        <v>119.39554612937435</v>
      </c>
      <c r="N55" s="540" t="s">
        <v>808</v>
      </c>
    </row>
    <row r="56" spans="1:14">
      <c r="A56" s="440"/>
      <c r="B56" s="449">
        <v>34516</v>
      </c>
      <c r="C56" s="441">
        <v>115.79</v>
      </c>
      <c r="D56" s="442">
        <v>113.56131886477463</v>
      </c>
      <c r="E56" s="443">
        <v>125.46646495209279</v>
      </c>
      <c r="F56" s="443">
        <v>119.50689289501591</v>
      </c>
      <c r="N56" s="540" t="s">
        <v>809</v>
      </c>
    </row>
    <row r="57" spans="1:14">
      <c r="A57" s="440"/>
      <c r="B57" s="449">
        <v>34547</v>
      </c>
      <c r="C57" s="441">
        <v>116.03</v>
      </c>
      <c r="D57" s="442">
        <v>113.59804674457429</v>
      </c>
      <c r="E57" s="443">
        <v>125.46646495209279</v>
      </c>
      <c r="F57" s="443">
        <v>119.63414634146341</v>
      </c>
      <c r="N57" s="540" t="s">
        <v>810</v>
      </c>
    </row>
    <row r="58" spans="1:14">
      <c r="A58" s="440"/>
      <c r="B58" s="449">
        <v>34578</v>
      </c>
      <c r="C58" s="441">
        <v>116.13</v>
      </c>
      <c r="D58" s="442">
        <v>114.17339766277129</v>
      </c>
      <c r="E58" s="443">
        <v>126.62632375189106</v>
      </c>
      <c r="F58" s="443">
        <v>120.67338282078472</v>
      </c>
      <c r="N58" s="540" t="s">
        <v>811</v>
      </c>
    </row>
    <row r="59" spans="1:14">
      <c r="A59" s="440"/>
      <c r="B59" s="449">
        <v>34608</v>
      </c>
      <c r="C59" s="441">
        <v>116.33499999999999</v>
      </c>
      <c r="D59" s="442">
        <v>114.17259432387313</v>
      </c>
      <c r="E59" s="443">
        <v>126.72718103883005</v>
      </c>
      <c r="F59" s="443">
        <v>120.68928950159068</v>
      </c>
      <c r="N59" s="540" t="s">
        <v>812</v>
      </c>
    </row>
    <row r="60" spans="1:14">
      <c r="A60" s="440"/>
      <c r="B60" s="449">
        <v>34639</v>
      </c>
      <c r="C60" s="441">
        <v>116.41500000000001</v>
      </c>
      <c r="D60" s="442">
        <v>113.94171552587646</v>
      </c>
      <c r="E60" s="443">
        <v>126.67675239536055</v>
      </c>
      <c r="F60" s="443">
        <v>120.4984093319194</v>
      </c>
      <c r="N60" s="540" t="s">
        <v>813</v>
      </c>
    </row>
    <row r="61" spans="1:14">
      <c r="A61" s="444"/>
      <c r="B61" s="449">
        <v>34669</v>
      </c>
      <c r="C61" s="441">
        <v>117.86</v>
      </c>
      <c r="D61" s="442">
        <v>114.32379432387312</v>
      </c>
      <c r="E61" s="443">
        <v>126.4246091780131</v>
      </c>
      <c r="F61" s="443">
        <v>120.10604453870626</v>
      </c>
      <c r="N61" s="540" t="s">
        <v>814</v>
      </c>
    </row>
    <row r="62" spans="1:14">
      <c r="A62" s="439">
        <v>1995</v>
      </c>
      <c r="B62" s="449">
        <v>34700</v>
      </c>
      <c r="C62" s="441">
        <v>119.515</v>
      </c>
      <c r="D62" s="442">
        <v>115.88158464106844</v>
      </c>
      <c r="E62" s="443">
        <v>126.87846696923853</v>
      </c>
      <c r="F62" s="443">
        <v>120.01590668080593</v>
      </c>
      <c r="N62" s="540" t="s">
        <v>815</v>
      </c>
    </row>
    <row r="63" spans="1:14">
      <c r="A63" s="440"/>
      <c r="B63" s="449">
        <v>34731</v>
      </c>
      <c r="C63" s="441">
        <v>119.645</v>
      </c>
      <c r="D63" s="442">
        <v>116.04787646076795</v>
      </c>
      <c r="E63" s="443">
        <v>127.33232476046395</v>
      </c>
      <c r="F63" s="443">
        <v>120.36055143160127</v>
      </c>
      <c r="N63" s="540" t="s">
        <v>816</v>
      </c>
    </row>
    <row r="64" spans="1:14">
      <c r="A64" s="440"/>
      <c r="B64" s="449">
        <v>34759</v>
      </c>
      <c r="C64" s="441">
        <v>119.80500000000001</v>
      </c>
      <c r="D64" s="442">
        <v>116.65951585976629</v>
      </c>
      <c r="E64" s="443">
        <v>127.83661119515884</v>
      </c>
      <c r="F64" s="443">
        <v>120.8218451749735</v>
      </c>
      <c r="N64" s="540" t="s">
        <v>817</v>
      </c>
    </row>
    <row r="65" spans="1:14">
      <c r="A65" s="440"/>
      <c r="B65" s="450">
        <v>34790</v>
      </c>
      <c r="C65" s="441">
        <v>120.22</v>
      </c>
      <c r="D65" s="442">
        <v>117.05842404006677</v>
      </c>
      <c r="E65" s="443">
        <v>128.69389813414017</v>
      </c>
      <c r="F65" s="443">
        <v>121.6967126193001</v>
      </c>
      <c r="N65" s="540" t="s">
        <v>818</v>
      </c>
    </row>
    <row r="66" spans="1:14">
      <c r="A66" s="440"/>
      <c r="B66" s="449">
        <v>34820</v>
      </c>
      <c r="C66" s="441">
        <v>120.52500000000001</v>
      </c>
      <c r="D66" s="442">
        <v>117.52664373956594</v>
      </c>
      <c r="E66" s="443">
        <v>128.84518406454865</v>
      </c>
      <c r="F66" s="443">
        <v>121.93001060445387</v>
      </c>
      <c r="N66" s="540" t="s">
        <v>819</v>
      </c>
    </row>
    <row r="67" spans="1:14">
      <c r="A67" s="440"/>
      <c r="B67" s="449">
        <v>34851</v>
      </c>
      <c r="C67" s="441">
        <v>121.995</v>
      </c>
      <c r="D67" s="442">
        <v>118.05442737896493</v>
      </c>
      <c r="E67" s="443">
        <v>128.69389813414017</v>
      </c>
      <c r="F67" s="443">
        <v>121.77094379639448</v>
      </c>
      <c r="N67" s="540" t="s">
        <v>820</v>
      </c>
    </row>
    <row r="68" spans="1:14">
      <c r="A68" s="440"/>
      <c r="B68" s="449">
        <v>34881</v>
      </c>
      <c r="C68" s="441">
        <v>122.98</v>
      </c>
      <c r="D68" s="442">
        <v>118.89097495826378</v>
      </c>
      <c r="E68" s="443">
        <v>128.59304084720119</v>
      </c>
      <c r="F68" s="443">
        <v>121.54825026511136</v>
      </c>
      <c r="N68" s="540" t="s">
        <v>821</v>
      </c>
    </row>
    <row r="69" spans="1:14">
      <c r="A69" s="440"/>
      <c r="B69" s="449">
        <v>34912</v>
      </c>
      <c r="C69" s="441">
        <v>123.005</v>
      </c>
      <c r="D69" s="442">
        <v>118.36169616026712</v>
      </c>
      <c r="E69" s="443">
        <v>128.39132627332324</v>
      </c>
      <c r="F69" s="443">
        <v>121.23541887592791</v>
      </c>
      <c r="N69" s="540" t="s">
        <v>822</v>
      </c>
    </row>
    <row r="70" spans="1:14">
      <c r="A70" s="440"/>
      <c r="B70" s="449">
        <v>34943</v>
      </c>
      <c r="C70" s="441">
        <v>123.315</v>
      </c>
      <c r="D70" s="442">
        <v>118.74296828046745</v>
      </c>
      <c r="E70" s="443">
        <v>129.24861321230458</v>
      </c>
      <c r="F70" s="443">
        <v>121.9406150583245</v>
      </c>
      <c r="N70" s="540" t="s">
        <v>823</v>
      </c>
    </row>
    <row r="71" spans="1:14">
      <c r="A71" s="440"/>
      <c r="B71" s="449">
        <v>34973</v>
      </c>
      <c r="C71" s="441">
        <v>124.045</v>
      </c>
      <c r="D71" s="442">
        <v>120.07745375626044</v>
      </c>
      <c r="E71" s="443">
        <v>129.5511850731215</v>
      </c>
      <c r="F71" s="443">
        <v>121.74443266171792</v>
      </c>
      <c r="N71" s="540" t="s">
        <v>824</v>
      </c>
    </row>
    <row r="72" spans="1:14">
      <c r="A72" s="440"/>
      <c r="B72" s="449">
        <v>35004</v>
      </c>
      <c r="C72" s="441">
        <v>124.33499999999999</v>
      </c>
      <c r="D72" s="442">
        <v>120.38418163606009</v>
      </c>
      <c r="E72" s="443">
        <v>129.50075642965203</v>
      </c>
      <c r="F72" s="443">
        <v>121.5694591728526</v>
      </c>
      <c r="N72" s="540" t="s">
        <v>825</v>
      </c>
    </row>
    <row r="73" spans="1:14">
      <c r="A73" s="444"/>
      <c r="B73" s="449">
        <v>35034</v>
      </c>
      <c r="C73" s="441">
        <v>125.705</v>
      </c>
      <c r="D73" s="442">
        <v>120.8357161936561</v>
      </c>
      <c r="E73" s="443">
        <v>129.0973272818961</v>
      </c>
      <c r="F73" s="443">
        <v>121.09756097560975</v>
      </c>
      <c r="N73" s="540" t="s">
        <v>826</v>
      </c>
    </row>
    <row r="74" spans="1:14">
      <c r="A74" s="439">
        <v>1996</v>
      </c>
      <c r="B74" s="449">
        <v>35065</v>
      </c>
      <c r="C74" s="441">
        <v>126.66500000000001</v>
      </c>
      <c r="D74" s="442">
        <v>121.57844741235392</v>
      </c>
      <c r="E74" s="443">
        <v>128.89561270801815</v>
      </c>
      <c r="F74" s="443">
        <v>121.20360551431601</v>
      </c>
      <c r="N74" s="540" t="s">
        <v>827</v>
      </c>
    </row>
    <row r="75" spans="1:14">
      <c r="A75" s="440"/>
      <c r="B75" s="449">
        <v>35096</v>
      </c>
      <c r="C75" s="441">
        <v>127.005</v>
      </c>
      <c r="D75" s="442">
        <v>122.16998196994993</v>
      </c>
      <c r="E75" s="443">
        <v>129.04689863842663</v>
      </c>
      <c r="F75" s="443">
        <v>121.29374337221633</v>
      </c>
    </row>
    <row r="76" spans="1:14">
      <c r="A76" s="440"/>
      <c r="B76" s="449">
        <v>35125</v>
      </c>
      <c r="C76" s="441">
        <v>128.02000000000001</v>
      </c>
      <c r="D76" s="442">
        <v>122.69744106844742</v>
      </c>
      <c r="E76" s="443">
        <v>129.65204236006051</v>
      </c>
      <c r="F76" s="443">
        <v>121.76564156945918</v>
      </c>
    </row>
    <row r="77" spans="1:14">
      <c r="A77" s="440"/>
      <c r="B77" s="450">
        <v>35156</v>
      </c>
      <c r="C77" s="441">
        <v>129.15</v>
      </c>
      <c r="D77" s="442">
        <v>124.19260834724543</v>
      </c>
      <c r="E77" s="443">
        <v>130.00504286434696</v>
      </c>
      <c r="F77" s="443">
        <v>122.49734888653234</v>
      </c>
    </row>
    <row r="78" spans="1:14">
      <c r="A78" s="440"/>
      <c r="B78" s="449">
        <v>35186</v>
      </c>
      <c r="C78" s="441">
        <v>129.005</v>
      </c>
      <c r="D78" s="442">
        <v>124.14617228714523</v>
      </c>
      <c r="E78" s="443">
        <v>129.85375693393848</v>
      </c>
      <c r="F78" s="443">
        <v>122.26935312831388</v>
      </c>
    </row>
    <row r="79" spans="1:14">
      <c r="A79" s="440"/>
      <c r="B79" s="449">
        <v>35217</v>
      </c>
      <c r="C79" s="441">
        <v>129.58000000000001</v>
      </c>
      <c r="D79" s="442">
        <v>124.00290016694491</v>
      </c>
      <c r="E79" s="443">
        <v>129.39989914271305</v>
      </c>
      <c r="F79" s="443">
        <v>121.85047720042419</v>
      </c>
    </row>
    <row r="80" spans="1:14">
      <c r="A80" s="440"/>
      <c r="B80" s="449">
        <v>35247</v>
      </c>
      <c r="C80" s="441">
        <v>131.09</v>
      </c>
      <c r="D80" s="442">
        <v>124.51882804674456</v>
      </c>
      <c r="E80" s="443">
        <v>129.0973272818961</v>
      </c>
      <c r="F80" s="443">
        <v>121.67550371155886</v>
      </c>
    </row>
    <row r="81" spans="1:6">
      <c r="A81" s="440"/>
      <c r="B81" s="449">
        <v>35278</v>
      </c>
      <c r="C81" s="441">
        <v>131.08500000000001</v>
      </c>
      <c r="D81" s="442">
        <v>124.16344106844741</v>
      </c>
      <c r="E81" s="443">
        <v>128.54261220373172</v>
      </c>
      <c r="F81" s="443">
        <v>121.06574761399789</v>
      </c>
    </row>
    <row r="82" spans="1:6">
      <c r="A82" s="440"/>
      <c r="B82" s="449">
        <v>35309</v>
      </c>
      <c r="C82" s="441">
        <v>131.15</v>
      </c>
      <c r="D82" s="442">
        <v>124.43424440734557</v>
      </c>
      <c r="E82" s="443">
        <v>129.24861321230458</v>
      </c>
      <c r="F82" s="443">
        <v>121.1611876988335</v>
      </c>
    </row>
    <row r="83" spans="1:6">
      <c r="A83" s="440"/>
      <c r="B83" s="449">
        <v>35339</v>
      </c>
      <c r="C83" s="441">
        <v>131.63999999999999</v>
      </c>
      <c r="D83" s="442">
        <v>125.02072320534224</v>
      </c>
      <c r="E83" s="443">
        <v>129.29904185577405</v>
      </c>
      <c r="F83" s="443">
        <v>121.05514316012727</v>
      </c>
    </row>
    <row r="84" spans="1:6">
      <c r="A84" s="440"/>
      <c r="B84" s="449">
        <v>35370</v>
      </c>
      <c r="C84" s="441">
        <v>131.66999999999999</v>
      </c>
      <c r="D84" s="442">
        <v>125.48843806343906</v>
      </c>
      <c r="E84" s="443">
        <v>129.04689863842663</v>
      </c>
      <c r="F84" s="443">
        <v>120.49310710498409</v>
      </c>
    </row>
    <row r="85" spans="1:6">
      <c r="A85" s="444"/>
      <c r="B85" s="449">
        <v>35400</v>
      </c>
      <c r="C85" s="441">
        <v>132.12</v>
      </c>
      <c r="D85" s="442">
        <v>125.7271692821369</v>
      </c>
      <c r="E85" s="443">
        <v>128.84518406454865</v>
      </c>
      <c r="F85" s="443">
        <v>120.21208907741251</v>
      </c>
    </row>
    <row r="86" spans="1:6">
      <c r="A86" s="439">
        <v>1997</v>
      </c>
      <c r="B86" s="449">
        <v>35431</v>
      </c>
      <c r="C86" s="441">
        <v>132.375</v>
      </c>
      <c r="D86" s="442">
        <v>125.85502504173623</v>
      </c>
      <c r="E86" s="443">
        <v>128.84518406454865</v>
      </c>
      <c r="F86" s="443">
        <v>119.62884411452809</v>
      </c>
    </row>
    <row r="87" spans="1:6">
      <c r="A87" s="440"/>
      <c r="B87" s="449">
        <v>35462</v>
      </c>
      <c r="C87" s="441">
        <v>132.51</v>
      </c>
      <c r="D87" s="442">
        <v>126.1357529215359</v>
      </c>
      <c r="E87" s="443">
        <v>128.79475542107917</v>
      </c>
      <c r="F87" s="443">
        <v>119.44326617179215</v>
      </c>
    </row>
    <row r="88" spans="1:6">
      <c r="A88" s="440"/>
      <c r="B88" s="449">
        <v>35490</v>
      </c>
      <c r="C88" s="441">
        <v>133.11500000000001</v>
      </c>
      <c r="D88" s="442">
        <v>126.1422611018364</v>
      </c>
      <c r="E88" s="443">
        <v>129.29904185577405</v>
      </c>
      <c r="F88" s="443">
        <v>119.77730646871687</v>
      </c>
    </row>
    <row r="89" spans="1:6">
      <c r="A89" s="440"/>
      <c r="B89" s="450">
        <v>35521</v>
      </c>
      <c r="C89" s="441">
        <v>134.37</v>
      </c>
      <c r="D89" s="442">
        <v>127.55844474123541</v>
      </c>
      <c r="E89" s="443">
        <v>129.95461422087743</v>
      </c>
      <c r="F89" s="443">
        <v>120.34464475079534</v>
      </c>
    </row>
    <row r="90" spans="1:6">
      <c r="A90" s="440"/>
      <c r="B90" s="449">
        <v>35551</v>
      </c>
      <c r="C90" s="441">
        <v>134.52000000000001</v>
      </c>
      <c r="D90" s="442">
        <v>127.6663692821369</v>
      </c>
      <c r="E90" s="443">
        <v>129.95461422087743</v>
      </c>
      <c r="F90" s="443">
        <v>120.20148462354187</v>
      </c>
    </row>
    <row r="91" spans="1:6">
      <c r="A91" s="440"/>
      <c r="B91" s="449">
        <v>35582</v>
      </c>
      <c r="C91" s="441">
        <v>135.11500000000001</v>
      </c>
      <c r="D91" s="442">
        <v>127.30272988313857</v>
      </c>
      <c r="E91" s="443">
        <v>130.10590015128591</v>
      </c>
      <c r="F91" s="443">
        <v>120.25980911983034</v>
      </c>
    </row>
    <row r="92" spans="1:6">
      <c r="A92" s="440"/>
      <c r="B92" s="449">
        <v>35612</v>
      </c>
      <c r="C92" s="441">
        <v>135.42500000000001</v>
      </c>
      <c r="D92" s="442">
        <v>127.67571352253755</v>
      </c>
      <c r="E92" s="443">
        <v>129.90418557740796</v>
      </c>
      <c r="F92" s="443">
        <v>119.11452810180276</v>
      </c>
    </row>
    <row r="93" spans="1:6">
      <c r="A93" s="440"/>
      <c r="B93" s="449">
        <v>35643</v>
      </c>
      <c r="C93" s="441">
        <v>135.6</v>
      </c>
      <c r="D93" s="442">
        <v>127.73080534223708</v>
      </c>
      <c r="E93" s="443">
        <v>129.95461422087743</v>
      </c>
      <c r="F93" s="443">
        <v>118.60551431601272</v>
      </c>
    </row>
    <row r="94" spans="1:6">
      <c r="A94" s="440"/>
      <c r="B94" s="449">
        <v>35674</v>
      </c>
      <c r="C94" s="441">
        <v>135.54499999999999</v>
      </c>
      <c r="D94" s="442">
        <v>127.73080534223708</v>
      </c>
      <c r="E94" s="443">
        <v>131.16490166414522</v>
      </c>
      <c r="F94" s="443">
        <v>119.57582184517499</v>
      </c>
    </row>
    <row r="95" spans="1:6">
      <c r="A95" s="440"/>
      <c r="B95" s="449">
        <v>35704</v>
      </c>
      <c r="C95" s="441">
        <v>135.69999999999999</v>
      </c>
      <c r="D95" s="442">
        <v>128.29735626043407</v>
      </c>
      <c r="E95" s="443">
        <v>131.26575895108422</v>
      </c>
      <c r="F95" s="443">
        <v>119.41145281018028</v>
      </c>
    </row>
    <row r="96" spans="1:6">
      <c r="A96" s="440"/>
      <c r="B96" s="449">
        <v>35735</v>
      </c>
      <c r="C96" s="441">
        <v>135.72499999999999</v>
      </c>
      <c r="D96" s="442">
        <v>128.47772020033389</v>
      </c>
      <c r="E96" s="443">
        <v>131.06404437720622</v>
      </c>
      <c r="F96" s="443">
        <v>119.01908801696712</v>
      </c>
    </row>
    <row r="97" spans="1:6">
      <c r="A97" s="444"/>
      <c r="B97" s="449">
        <v>35765</v>
      </c>
      <c r="C97" s="441">
        <v>136.09</v>
      </c>
      <c r="D97" s="442">
        <v>128.71499565943239</v>
      </c>
      <c r="E97" s="443">
        <v>130.96318709026727</v>
      </c>
      <c r="F97" s="443">
        <v>118.77518557794274</v>
      </c>
    </row>
    <row r="98" spans="1:6">
      <c r="A98" s="439">
        <v>1998</v>
      </c>
      <c r="B98" s="449">
        <v>35796</v>
      </c>
      <c r="C98" s="441">
        <v>136.495</v>
      </c>
      <c r="D98" s="442">
        <v>129.11928747913188</v>
      </c>
      <c r="E98" s="443">
        <v>129.70247100352998</v>
      </c>
      <c r="F98" s="443">
        <v>117.09437963944858</v>
      </c>
    </row>
    <row r="99" spans="1:6">
      <c r="A99" s="440"/>
      <c r="B99" s="449">
        <v>35827</v>
      </c>
      <c r="C99" s="441">
        <v>136.56</v>
      </c>
      <c r="D99" s="442">
        <v>129.22765141903173</v>
      </c>
      <c r="E99" s="443">
        <v>129.5511850731215</v>
      </c>
      <c r="F99" s="443">
        <v>116.80275715800636</v>
      </c>
    </row>
    <row r="100" spans="1:6">
      <c r="A100" s="440"/>
      <c r="B100" s="449">
        <v>35855</v>
      </c>
      <c r="C100" s="441">
        <v>136.685</v>
      </c>
      <c r="D100" s="442">
        <v>129.38685141903173</v>
      </c>
      <c r="E100" s="443">
        <v>129.75289964699951</v>
      </c>
      <c r="F100" s="443">
        <v>116.9034994697773</v>
      </c>
    </row>
    <row r="101" spans="1:6">
      <c r="A101" s="440"/>
      <c r="B101" s="450">
        <v>35886</v>
      </c>
      <c r="C101" s="441">
        <v>137.47499999999999</v>
      </c>
      <c r="D101" s="442">
        <v>129.72277262103506</v>
      </c>
      <c r="E101" s="443">
        <v>130.10590015128591</v>
      </c>
      <c r="F101" s="443">
        <v>117.26935312831388</v>
      </c>
    </row>
    <row r="102" spans="1:6">
      <c r="A102" s="440"/>
      <c r="B102" s="449">
        <v>35916</v>
      </c>
      <c r="C102" s="441">
        <v>137.85</v>
      </c>
      <c r="D102" s="442">
        <v>130.12786444073458</v>
      </c>
      <c r="E102" s="443">
        <v>130.35804336863336</v>
      </c>
      <c r="F102" s="443">
        <v>117.96924708377519</v>
      </c>
    </row>
    <row r="103" spans="1:6">
      <c r="A103" s="440"/>
      <c r="B103" s="449">
        <v>35947</v>
      </c>
      <c r="C103" s="441">
        <v>138.39500000000001</v>
      </c>
      <c r="D103" s="442">
        <v>130.3871038397329</v>
      </c>
      <c r="E103" s="443">
        <v>130.05547150781643</v>
      </c>
      <c r="F103" s="443">
        <v>117.61399787910922</v>
      </c>
    </row>
    <row r="104" spans="1:6">
      <c r="A104" s="440"/>
      <c r="B104" s="449">
        <v>35977</v>
      </c>
      <c r="C104" s="441">
        <v>138.4</v>
      </c>
      <c r="D104" s="442">
        <v>130.19157262103508</v>
      </c>
      <c r="E104" s="443">
        <v>129.80332829046895</v>
      </c>
      <c r="F104" s="443">
        <v>117.25344644750794</v>
      </c>
    </row>
    <row r="105" spans="1:6">
      <c r="A105" s="440"/>
      <c r="B105" s="449">
        <v>36008</v>
      </c>
      <c r="C105" s="441">
        <v>138.42500000000001</v>
      </c>
      <c r="D105" s="442">
        <v>130.15993656093488</v>
      </c>
      <c r="E105" s="443">
        <v>129.1477559253656</v>
      </c>
      <c r="F105" s="443">
        <v>116.97242841993638</v>
      </c>
    </row>
    <row r="106" spans="1:6">
      <c r="A106" s="440"/>
      <c r="B106" s="449">
        <v>36039</v>
      </c>
      <c r="C106" s="441">
        <v>138.315</v>
      </c>
      <c r="D106" s="442">
        <v>129.7860447412354</v>
      </c>
      <c r="E106" s="443">
        <v>129.65204236006051</v>
      </c>
      <c r="F106" s="443">
        <v>117.39660657476141</v>
      </c>
    </row>
    <row r="107" spans="1:6">
      <c r="A107" s="440"/>
      <c r="B107" s="449">
        <v>36069</v>
      </c>
      <c r="C107" s="441">
        <v>138.54</v>
      </c>
      <c r="D107" s="442">
        <v>130.23590050083473</v>
      </c>
      <c r="E107" s="443">
        <v>129.90418557740796</v>
      </c>
      <c r="F107" s="443">
        <v>117.47083775185578</v>
      </c>
    </row>
    <row r="108" spans="1:6">
      <c r="A108" s="440"/>
      <c r="B108" s="449">
        <v>36100</v>
      </c>
      <c r="C108" s="441">
        <v>138.52500000000001</v>
      </c>
      <c r="D108" s="442">
        <v>130.30426444073456</v>
      </c>
      <c r="E108" s="443">
        <v>129.60161371659103</v>
      </c>
      <c r="F108" s="443">
        <v>117.02545068928951</v>
      </c>
    </row>
    <row r="109" spans="1:6">
      <c r="A109" s="444"/>
      <c r="B109" s="449">
        <v>36130</v>
      </c>
      <c r="C109" s="441">
        <v>138.47499999999999</v>
      </c>
      <c r="D109" s="442">
        <v>130.38066777963272</v>
      </c>
      <c r="E109" s="443">
        <v>129.39989914271305</v>
      </c>
      <c r="F109" s="443">
        <v>116.71261930010606</v>
      </c>
    </row>
    <row r="110" spans="1:6">
      <c r="A110" s="439">
        <v>1999</v>
      </c>
      <c r="B110" s="449">
        <v>36161</v>
      </c>
      <c r="C110" s="441">
        <v>138.84</v>
      </c>
      <c r="D110" s="442">
        <v>130.06433989983304</v>
      </c>
      <c r="E110" s="443">
        <v>129.45032778618253</v>
      </c>
      <c r="F110" s="443">
        <v>115.5355249204666</v>
      </c>
    </row>
    <row r="111" spans="1:6">
      <c r="A111" s="440"/>
      <c r="B111" s="449">
        <v>36192</v>
      </c>
      <c r="C111" s="441">
        <v>138.85</v>
      </c>
      <c r="D111" s="442">
        <v>130.14553989983307</v>
      </c>
      <c r="E111" s="443">
        <v>129.45032778618253</v>
      </c>
      <c r="F111" s="443">
        <v>115.45599151643691</v>
      </c>
    </row>
    <row r="112" spans="1:6">
      <c r="A112" s="440"/>
      <c r="B112" s="449">
        <v>36220</v>
      </c>
      <c r="C112" s="441">
        <v>138.91499999999999</v>
      </c>
      <c r="D112" s="442">
        <v>130.28019565943239</v>
      </c>
      <c r="E112" s="443">
        <v>129.90418557740796</v>
      </c>
      <c r="F112" s="443">
        <v>115.93319194061506</v>
      </c>
    </row>
    <row r="113" spans="1:6">
      <c r="A113" s="440"/>
      <c r="B113" s="450">
        <v>36251</v>
      </c>
      <c r="C113" s="441">
        <v>139.745</v>
      </c>
      <c r="D113" s="442">
        <v>131.39899565943242</v>
      </c>
      <c r="E113" s="443">
        <v>130.20675743822488</v>
      </c>
      <c r="F113" s="443">
        <v>115.83775185577943</v>
      </c>
    </row>
    <row r="114" spans="1:6">
      <c r="A114" s="440"/>
      <c r="B114" s="449">
        <v>36281</v>
      </c>
      <c r="C114" s="441">
        <v>140.005</v>
      </c>
      <c r="D114" s="442">
        <v>131.74427111853089</v>
      </c>
      <c r="E114" s="443">
        <v>130.45890065557236</v>
      </c>
      <c r="F114" s="443">
        <v>116.08695652173913</v>
      </c>
    </row>
    <row r="115" spans="1:6">
      <c r="A115" s="440"/>
      <c r="B115" s="449">
        <v>36312</v>
      </c>
      <c r="C115" s="441">
        <v>140.12</v>
      </c>
      <c r="D115" s="442">
        <v>132.05645809682804</v>
      </c>
      <c r="E115" s="443">
        <v>130.66061522945034</v>
      </c>
      <c r="F115" s="443">
        <v>116.22481442205725</v>
      </c>
    </row>
    <row r="116" spans="1:6">
      <c r="A116" s="440"/>
      <c r="B116" s="449">
        <v>36342</v>
      </c>
      <c r="C116" s="441">
        <v>140.20500000000001</v>
      </c>
      <c r="D116" s="442">
        <v>132.34700567612688</v>
      </c>
      <c r="E116" s="443">
        <v>130.05547150781643</v>
      </c>
      <c r="F116" s="443">
        <v>115.58324496288441</v>
      </c>
    </row>
    <row r="117" spans="1:6">
      <c r="A117" s="440"/>
      <c r="B117" s="449">
        <v>36373</v>
      </c>
      <c r="C117" s="441">
        <v>140.16499999999999</v>
      </c>
      <c r="D117" s="442">
        <v>132.45755325542572</v>
      </c>
      <c r="E117" s="443">
        <v>130.05547150781643</v>
      </c>
      <c r="F117" s="443">
        <v>115.62036055143162</v>
      </c>
    </row>
    <row r="118" spans="1:6">
      <c r="A118" s="440"/>
      <c r="B118" s="449">
        <v>36404</v>
      </c>
      <c r="C118" s="441">
        <v>140.38</v>
      </c>
      <c r="D118" s="442">
        <v>133.38181903171954</v>
      </c>
      <c r="E118" s="443">
        <v>131.01361573373674</v>
      </c>
      <c r="F118" s="443">
        <v>116.46871686108167</v>
      </c>
    </row>
    <row r="119" spans="1:6">
      <c r="A119" s="440"/>
      <c r="B119" s="449">
        <v>36434</v>
      </c>
      <c r="C119" s="441">
        <v>140.44</v>
      </c>
      <c r="D119" s="442">
        <v>134.01284540901503</v>
      </c>
      <c r="E119" s="443">
        <v>131.16490166414522</v>
      </c>
      <c r="F119" s="443">
        <v>116.49522799575823</v>
      </c>
    </row>
    <row r="120" spans="1:6">
      <c r="A120" s="440"/>
      <c r="B120" s="449">
        <v>36465</v>
      </c>
      <c r="C120" s="441">
        <v>141.11000000000001</v>
      </c>
      <c r="D120" s="442">
        <v>134.33506510851419</v>
      </c>
      <c r="E120" s="443">
        <v>130.81190115985879</v>
      </c>
      <c r="F120" s="443">
        <v>116.04984093319194</v>
      </c>
    </row>
    <row r="121" spans="1:6">
      <c r="A121" s="444"/>
      <c r="B121" s="449">
        <v>36495</v>
      </c>
      <c r="C121" s="441">
        <v>142.495</v>
      </c>
      <c r="D121" s="442">
        <v>134.98532754590985</v>
      </c>
      <c r="E121" s="443">
        <v>131.06404437720622</v>
      </c>
      <c r="F121" s="443">
        <v>116.26193001060446</v>
      </c>
    </row>
    <row r="122" spans="1:6">
      <c r="A122" s="439">
        <v>2000</v>
      </c>
      <c r="B122" s="449">
        <v>36526</v>
      </c>
      <c r="C122" s="441">
        <v>142.48500000000001</v>
      </c>
      <c r="D122" s="442">
        <v>135.30900300500835</v>
      </c>
      <c r="E122" s="443">
        <v>130.00504286434696</v>
      </c>
      <c r="F122" s="443">
        <v>117.12619300106044</v>
      </c>
    </row>
    <row r="123" spans="1:6">
      <c r="A123" s="440"/>
      <c r="B123" s="449">
        <v>36557</v>
      </c>
      <c r="C123" s="441">
        <v>142.56</v>
      </c>
      <c r="D123" s="442">
        <v>135.32609482470784</v>
      </c>
      <c r="E123" s="443">
        <v>130.61018658598081</v>
      </c>
      <c r="F123" s="443">
        <v>117.68292682926828</v>
      </c>
    </row>
    <row r="124" spans="1:6">
      <c r="A124" s="440"/>
      <c r="B124" s="449">
        <v>36586</v>
      </c>
      <c r="C124" s="441">
        <v>143.57</v>
      </c>
      <c r="D124" s="442">
        <v>136.5155572621035</v>
      </c>
      <c r="E124" s="443">
        <v>131.26575895108422</v>
      </c>
      <c r="F124" s="443">
        <v>118.25026511134678</v>
      </c>
    </row>
    <row r="125" spans="1:6">
      <c r="A125" s="440"/>
      <c r="B125" s="450">
        <v>36617</v>
      </c>
      <c r="C125" s="441">
        <v>145.285</v>
      </c>
      <c r="D125" s="442">
        <v>138.25149515859766</v>
      </c>
      <c r="E125" s="443">
        <v>131.16490166414522</v>
      </c>
      <c r="F125" s="443">
        <v>118.12301166489927</v>
      </c>
    </row>
    <row r="126" spans="1:6">
      <c r="A126" s="440"/>
      <c r="B126" s="449">
        <v>36647</v>
      </c>
      <c r="C126" s="441">
        <v>145.655</v>
      </c>
      <c r="D126" s="442">
        <v>138.76131151919867</v>
      </c>
      <c r="E126" s="443">
        <v>131.77004538577913</v>
      </c>
      <c r="F126" s="443">
        <v>118.71155885471897</v>
      </c>
    </row>
    <row r="127" spans="1:6">
      <c r="A127" s="440"/>
      <c r="B127" s="449">
        <v>36678</v>
      </c>
      <c r="C127" s="441">
        <v>145.76499999999999</v>
      </c>
      <c r="D127" s="442">
        <v>138.38214090150251</v>
      </c>
      <c r="E127" s="443">
        <v>131.7196167423096</v>
      </c>
      <c r="F127" s="443">
        <v>118.61611876988336</v>
      </c>
    </row>
    <row r="128" spans="1:6">
      <c r="A128" s="440"/>
      <c r="B128" s="449">
        <v>36708</v>
      </c>
      <c r="C128" s="441">
        <v>146.38999999999999</v>
      </c>
      <c r="D128" s="442">
        <v>138.95461969949918</v>
      </c>
      <c r="E128" s="443">
        <v>131.11447302067575</v>
      </c>
      <c r="F128" s="443">
        <v>118.15482502651113</v>
      </c>
    </row>
    <row r="129" spans="1:6">
      <c r="A129" s="440"/>
      <c r="B129" s="449">
        <v>36739</v>
      </c>
      <c r="C129" s="441">
        <v>146.5</v>
      </c>
      <c r="D129" s="442">
        <v>139.33779031719533</v>
      </c>
      <c r="E129" s="443">
        <v>131.21533030761472</v>
      </c>
      <c r="F129" s="443">
        <v>118.20254506892896</v>
      </c>
    </row>
    <row r="130" spans="1:6">
      <c r="A130" s="440"/>
      <c r="B130" s="449">
        <v>36770</v>
      </c>
      <c r="C130" s="441">
        <v>146.86000000000001</v>
      </c>
      <c r="D130" s="442">
        <v>140.06426577629384</v>
      </c>
      <c r="E130" s="443">
        <v>132.12304589006555</v>
      </c>
      <c r="F130" s="443">
        <v>119.03499469777307</v>
      </c>
    </row>
    <row r="131" spans="1:6">
      <c r="A131" s="440"/>
      <c r="B131" s="449">
        <v>36800</v>
      </c>
      <c r="C131" s="441">
        <v>147.66999999999999</v>
      </c>
      <c r="D131" s="442">
        <v>140.8526003338898</v>
      </c>
      <c r="E131" s="443">
        <v>132.42561775088251</v>
      </c>
      <c r="F131" s="443">
        <v>119.18875927889714</v>
      </c>
    </row>
    <row r="132" spans="1:6">
      <c r="A132" s="440"/>
      <c r="B132" s="449">
        <v>36831</v>
      </c>
      <c r="C132" s="441">
        <v>147.81</v>
      </c>
      <c r="D132" s="442">
        <v>141.92381702838063</v>
      </c>
      <c r="E132" s="443">
        <v>132.47604639435198</v>
      </c>
      <c r="F132" s="443">
        <v>119.19936373276776</v>
      </c>
    </row>
    <row r="133" spans="1:6">
      <c r="A133" s="444"/>
      <c r="B133" s="449">
        <v>36861</v>
      </c>
      <c r="C133" s="441">
        <v>148.255</v>
      </c>
      <c r="D133" s="442">
        <v>141.57344974958264</v>
      </c>
      <c r="E133" s="443">
        <v>132.37518910741301</v>
      </c>
      <c r="F133" s="443">
        <v>119.05620360551433</v>
      </c>
    </row>
    <row r="134" spans="1:6">
      <c r="A134" s="439">
        <v>2001</v>
      </c>
      <c r="B134" s="449">
        <v>36892</v>
      </c>
      <c r="C134" s="441">
        <v>150.47</v>
      </c>
      <c r="D134" s="442">
        <v>141.65228247078463</v>
      </c>
      <c r="E134" s="443">
        <v>131.97175995965708</v>
      </c>
      <c r="F134" s="443">
        <v>118.8441145281018</v>
      </c>
    </row>
    <row r="135" spans="1:6">
      <c r="A135" s="440"/>
      <c r="B135" s="449">
        <v>36923</v>
      </c>
      <c r="C135" s="441">
        <v>150.63999999999999</v>
      </c>
      <c r="D135" s="442">
        <v>142.41908580968283</v>
      </c>
      <c r="E135" s="443">
        <v>132.47604639435198</v>
      </c>
      <c r="F135" s="443">
        <v>119.26829268292683</v>
      </c>
    </row>
    <row r="136" spans="1:6">
      <c r="A136" s="440"/>
      <c r="B136" s="449">
        <v>36951</v>
      </c>
      <c r="C136" s="441">
        <v>151.15</v>
      </c>
      <c r="D136" s="442">
        <v>142.17100033388982</v>
      </c>
      <c r="E136" s="443">
        <v>133.43419062027232</v>
      </c>
      <c r="F136" s="443">
        <v>120.20148462354187</v>
      </c>
    </row>
    <row r="137" spans="1:6">
      <c r="A137" s="440"/>
      <c r="B137" s="450">
        <v>36982</v>
      </c>
      <c r="C137" s="441">
        <v>152.81</v>
      </c>
      <c r="D137" s="442">
        <v>144.16598731218699</v>
      </c>
      <c r="E137" s="443">
        <v>134.59404942007058</v>
      </c>
      <c r="F137" s="443">
        <v>121.35737009544007</v>
      </c>
    </row>
    <row r="138" spans="1:6">
      <c r="A138" s="440"/>
      <c r="B138" s="449">
        <v>37012</v>
      </c>
      <c r="C138" s="441">
        <v>152.97</v>
      </c>
      <c r="D138" s="442">
        <v>144.32863973288815</v>
      </c>
      <c r="E138" s="443">
        <v>135.50176500252144</v>
      </c>
      <c r="F138" s="443">
        <v>122.24814422057264</v>
      </c>
    </row>
    <row r="139" spans="1:6">
      <c r="A139" s="440"/>
      <c r="B139" s="449">
        <v>37043</v>
      </c>
      <c r="C139" s="441">
        <v>153.35499999999999</v>
      </c>
      <c r="D139" s="442">
        <v>145.01581035058427</v>
      </c>
      <c r="E139" s="443">
        <v>135.30005042864346</v>
      </c>
      <c r="F139" s="443">
        <v>122.05726405090138</v>
      </c>
    </row>
    <row r="140" spans="1:6">
      <c r="A140" s="440"/>
      <c r="B140" s="449">
        <v>37073</v>
      </c>
      <c r="C140" s="441">
        <v>154.56</v>
      </c>
      <c r="D140" s="442">
        <v>145.49574156928213</v>
      </c>
      <c r="E140" s="443">
        <v>134.59404942007058</v>
      </c>
      <c r="F140" s="443">
        <v>121.42629904559914</v>
      </c>
    </row>
    <row r="141" spans="1:6">
      <c r="A141" s="440"/>
      <c r="B141" s="449">
        <v>37104</v>
      </c>
      <c r="C141" s="441">
        <v>154.47</v>
      </c>
      <c r="D141" s="442">
        <v>145.25792186978296</v>
      </c>
      <c r="E141" s="443">
        <v>134.94704992435703</v>
      </c>
      <c r="F141" s="443">
        <v>121.65429480381759</v>
      </c>
    </row>
    <row r="142" spans="1:6">
      <c r="A142" s="440"/>
      <c r="B142" s="449">
        <v>37135</v>
      </c>
      <c r="C142" s="441">
        <v>154.59</v>
      </c>
      <c r="D142" s="442">
        <v>145.53646944908181</v>
      </c>
      <c r="E142" s="443">
        <v>136.10690872415529</v>
      </c>
      <c r="F142" s="443">
        <v>123.30858960763523</v>
      </c>
    </row>
    <row r="143" spans="1:6">
      <c r="A143" s="440"/>
      <c r="B143" s="449">
        <v>37165</v>
      </c>
      <c r="C143" s="441">
        <v>154.86500000000001</v>
      </c>
      <c r="D143" s="442">
        <v>146.14374490818031</v>
      </c>
      <c r="E143" s="443">
        <v>135.70347957639939</v>
      </c>
      <c r="F143" s="443">
        <v>122.85790031813362</v>
      </c>
    </row>
    <row r="144" spans="1:6">
      <c r="A144" s="440"/>
      <c r="B144" s="449">
        <v>37196</v>
      </c>
      <c r="C144" s="441">
        <v>154.535</v>
      </c>
      <c r="D144" s="442">
        <v>145.21308247078466</v>
      </c>
      <c r="E144" s="443">
        <v>135.75390821986889</v>
      </c>
      <c r="F144" s="443">
        <v>122.83138918345706</v>
      </c>
    </row>
    <row r="145" spans="1:6">
      <c r="A145" s="444"/>
      <c r="B145" s="449">
        <v>37226</v>
      </c>
      <c r="C145" s="441">
        <v>154.96</v>
      </c>
      <c r="D145" s="442">
        <v>144.31790517529214</v>
      </c>
      <c r="E145" s="443">
        <v>135.90519415027734</v>
      </c>
      <c r="F145" s="443">
        <v>123.0965005302227</v>
      </c>
    </row>
    <row r="146" spans="1:6">
      <c r="A146" s="439">
        <v>2002</v>
      </c>
      <c r="B146" s="449">
        <v>37257</v>
      </c>
      <c r="C146" s="441">
        <v>155.245</v>
      </c>
      <c r="D146" s="442">
        <v>144.75245275459099</v>
      </c>
      <c r="E146" s="443">
        <v>135.55219364599091</v>
      </c>
      <c r="F146" s="443">
        <v>122.29056203605515</v>
      </c>
    </row>
    <row r="147" spans="1:6">
      <c r="A147" s="440"/>
      <c r="B147" s="449">
        <v>37288</v>
      </c>
      <c r="C147" s="441">
        <v>155.44499999999999</v>
      </c>
      <c r="D147" s="442">
        <v>144.95598063439064</v>
      </c>
      <c r="E147" s="443">
        <v>135.90519415027734</v>
      </c>
      <c r="F147" s="443">
        <v>122.57158006362671</v>
      </c>
    </row>
    <row r="148" spans="1:6">
      <c r="A148" s="440"/>
      <c r="B148" s="449">
        <v>37316</v>
      </c>
      <c r="C148" s="441">
        <v>155.64500000000001</v>
      </c>
      <c r="D148" s="442">
        <v>145.30125609348914</v>
      </c>
      <c r="E148" s="443">
        <v>137.06505295007565</v>
      </c>
      <c r="F148" s="443">
        <v>123.7168610816543</v>
      </c>
    </row>
    <row r="149" spans="1:6">
      <c r="A149" s="440"/>
      <c r="B149" s="450">
        <v>37347</v>
      </c>
      <c r="C149" s="441">
        <v>157.35499999999999</v>
      </c>
      <c r="D149" s="442">
        <v>147.63290550918197</v>
      </c>
      <c r="E149" s="443">
        <v>137.61976802824003</v>
      </c>
      <c r="F149" s="443">
        <v>124.36373276776247</v>
      </c>
    </row>
    <row r="150" spans="1:6">
      <c r="A150" s="440"/>
      <c r="B150" s="449">
        <v>37377</v>
      </c>
      <c r="C150" s="441">
        <v>157.52000000000001</v>
      </c>
      <c r="D150" s="442">
        <v>148.63484006677797</v>
      </c>
      <c r="E150" s="443">
        <v>137.97276853252646</v>
      </c>
      <c r="F150" s="443">
        <v>124.76139978791095</v>
      </c>
    </row>
    <row r="151" spans="1:6">
      <c r="A151" s="440"/>
      <c r="B151" s="449">
        <v>37408</v>
      </c>
      <c r="C151" s="441">
        <v>158.76499999999999</v>
      </c>
      <c r="D151" s="442">
        <v>148.60644340567612</v>
      </c>
      <c r="E151" s="443">
        <v>137.77105395864851</v>
      </c>
      <c r="F151" s="443">
        <v>124.62354188759279</v>
      </c>
    </row>
    <row r="152" spans="1:6">
      <c r="A152" s="440"/>
      <c r="B152" s="449">
        <v>37438</v>
      </c>
      <c r="C152" s="441">
        <v>159.03</v>
      </c>
      <c r="D152" s="442">
        <v>148.74320400667779</v>
      </c>
      <c r="E152" s="443">
        <v>137.31719616742308</v>
      </c>
      <c r="F152" s="443">
        <v>124.14634146341463</v>
      </c>
    </row>
    <row r="153" spans="1:6">
      <c r="A153" s="440"/>
      <c r="B153" s="449">
        <v>37469</v>
      </c>
      <c r="C153" s="441">
        <v>159.19</v>
      </c>
      <c r="D153" s="442">
        <v>148.78138430717863</v>
      </c>
      <c r="E153" s="443">
        <v>137.36762481089258</v>
      </c>
      <c r="F153" s="443">
        <v>124.1675503711559</v>
      </c>
    </row>
    <row r="154" spans="1:6">
      <c r="A154" s="440"/>
      <c r="B154" s="449">
        <v>37500</v>
      </c>
      <c r="C154" s="441">
        <v>159.58000000000001</v>
      </c>
      <c r="D154" s="442">
        <v>149.10615158597662</v>
      </c>
      <c r="E154" s="443">
        <v>138.42662632375189</v>
      </c>
      <c r="F154" s="443">
        <v>125.22799575821846</v>
      </c>
    </row>
    <row r="155" spans="1:6">
      <c r="A155" s="440"/>
      <c r="B155" s="449">
        <v>37530</v>
      </c>
      <c r="C155" s="441">
        <v>159.71</v>
      </c>
      <c r="D155" s="442">
        <v>149.76641402337228</v>
      </c>
      <c r="E155" s="443">
        <v>138.88048411497729</v>
      </c>
      <c r="F155" s="443">
        <v>125.58324496288442</v>
      </c>
    </row>
    <row r="156" spans="1:6">
      <c r="A156" s="440"/>
      <c r="B156" s="449">
        <v>37561</v>
      </c>
      <c r="C156" s="441">
        <v>159.52500000000001</v>
      </c>
      <c r="D156" s="442">
        <v>149.6536861435726</v>
      </c>
      <c r="E156" s="443">
        <v>138.52748361069084</v>
      </c>
      <c r="F156" s="443">
        <v>125.17497348886533</v>
      </c>
    </row>
    <row r="157" spans="1:6">
      <c r="A157" s="444"/>
      <c r="B157" s="449">
        <v>37591</v>
      </c>
      <c r="C157" s="441">
        <v>160.34</v>
      </c>
      <c r="D157" s="442">
        <v>149.30407946577628</v>
      </c>
      <c r="E157" s="443">
        <v>138.72919818456884</v>
      </c>
      <c r="F157" s="443">
        <v>125.31283138918346</v>
      </c>
    </row>
    <row r="158" spans="1:6">
      <c r="A158" s="439">
        <v>2003</v>
      </c>
      <c r="B158" s="449">
        <v>37622</v>
      </c>
      <c r="C158" s="441">
        <v>162.72499999999999</v>
      </c>
      <c r="D158" s="442">
        <v>150.3026631051753</v>
      </c>
      <c r="E158" s="443">
        <v>139.18305597579425</v>
      </c>
      <c r="F158" s="443">
        <v>125.15906680805939</v>
      </c>
    </row>
    <row r="159" spans="1:6">
      <c r="A159" s="440"/>
      <c r="B159" s="449">
        <v>37653</v>
      </c>
      <c r="C159" s="441">
        <v>162.81</v>
      </c>
      <c r="D159" s="442">
        <v>151.62344373956594</v>
      </c>
      <c r="E159" s="443">
        <v>140.39334341906201</v>
      </c>
      <c r="F159" s="443">
        <v>126.28844114528101</v>
      </c>
    </row>
    <row r="160" spans="1:6">
      <c r="A160" s="440"/>
      <c r="B160" s="449">
        <v>37681</v>
      </c>
      <c r="C160" s="441">
        <v>163.595</v>
      </c>
      <c r="D160" s="442">
        <v>153.49651619365611</v>
      </c>
      <c r="E160" s="443">
        <v>141.09934442763489</v>
      </c>
      <c r="F160" s="443">
        <v>126.96182396606575</v>
      </c>
    </row>
    <row r="161" spans="1:6">
      <c r="A161" s="440"/>
      <c r="B161" s="450">
        <v>37712</v>
      </c>
      <c r="C161" s="441">
        <v>164.29</v>
      </c>
      <c r="D161" s="442">
        <v>153.15762404006679</v>
      </c>
      <c r="E161" s="443">
        <v>140.59505799293999</v>
      </c>
      <c r="F161" s="443">
        <v>126.52704135737009</v>
      </c>
    </row>
    <row r="162" spans="1:6">
      <c r="A162" s="440"/>
      <c r="B162" s="449">
        <v>37742</v>
      </c>
      <c r="C162" s="441">
        <v>164.2</v>
      </c>
      <c r="D162" s="442">
        <v>151.89665976627714</v>
      </c>
      <c r="E162" s="443">
        <v>140.44377206253151</v>
      </c>
      <c r="F162" s="443">
        <v>126.37327677624603</v>
      </c>
    </row>
    <row r="163" spans="1:6">
      <c r="A163" s="440"/>
      <c r="B163" s="449">
        <v>37773</v>
      </c>
      <c r="C163" s="441">
        <v>164.14</v>
      </c>
      <c r="D163" s="442">
        <v>151.7130203672788</v>
      </c>
      <c r="E163" s="443">
        <v>140.04034291477558</v>
      </c>
      <c r="F163" s="443">
        <v>126.01272534464476</v>
      </c>
    </row>
    <row r="164" spans="1:6">
      <c r="A164" s="440"/>
      <c r="B164" s="449">
        <v>37803</v>
      </c>
      <c r="C164" s="441">
        <v>164.285</v>
      </c>
      <c r="D164" s="442">
        <v>151.87185976627711</v>
      </c>
      <c r="E164" s="443">
        <v>139.58648512355018</v>
      </c>
      <c r="F164" s="443">
        <v>125.5355249204666</v>
      </c>
    </row>
    <row r="165" spans="1:6">
      <c r="A165" s="440"/>
      <c r="B165" s="449">
        <v>37834</v>
      </c>
      <c r="C165" s="441">
        <v>164.33</v>
      </c>
      <c r="D165" s="442">
        <v>152.47208614357262</v>
      </c>
      <c r="E165" s="443">
        <v>139.53605648008067</v>
      </c>
      <c r="F165" s="443">
        <v>125.4453870625663</v>
      </c>
    </row>
    <row r="166" spans="1:6">
      <c r="A166" s="440"/>
      <c r="B166" s="449">
        <v>37865</v>
      </c>
      <c r="C166" s="441">
        <v>164.32499999999999</v>
      </c>
      <c r="D166" s="442">
        <v>152.67408948247078</v>
      </c>
      <c r="E166" s="443">
        <v>140.54462934947048</v>
      </c>
      <c r="F166" s="443">
        <v>126.47401908801696</v>
      </c>
    </row>
    <row r="167" spans="1:6">
      <c r="A167" s="440"/>
      <c r="B167" s="449">
        <v>37895</v>
      </c>
      <c r="C167" s="441">
        <v>164.4</v>
      </c>
      <c r="D167" s="442">
        <v>152.79426978297161</v>
      </c>
      <c r="E167" s="443">
        <v>140.64548663640946</v>
      </c>
      <c r="F167" s="443">
        <v>126.51113467656417</v>
      </c>
    </row>
    <row r="168" spans="1:6">
      <c r="A168" s="440"/>
      <c r="B168" s="449">
        <v>37926</v>
      </c>
      <c r="C168" s="441">
        <v>164.7</v>
      </c>
      <c r="D168" s="442">
        <v>152.6192467445743</v>
      </c>
      <c r="E168" s="443">
        <v>140.34291477559253</v>
      </c>
      <c r="F168" s="443">
        <v>126.13467656415693</v>
      </c>
    </row>
    <row r="169" spans="1:6">
      <c r="A169" s="444"/>
      <c r="B169" s="449">
        <v>37956</v>
      </c>
      <c r="C169" s="441">
        <v>165.08500000000001</v>
      </c>
      <c r="D169" s="442">
        <v>152.5876106844741</v>
      </c>
      <c r="E169" s="443">
        <v>140.49420070600101</v>
      </c>
      <c r="F169" s="443">
        <v>126.32555673382822</v>
      </c>
    </row>
    <row r="170" spans="1:6">
      <c r="A170" s="439">
        <v>2004</v>
      </c>
      <c r="B170" s="449">
        <v>37987</v>
      </c>
      <c r="C170" s="441">
        <v>166.245</v>
      </c>
      <c r="D170" s="442">
        <v>152.44077128547579</v>
      </c>
      <c r="E170" s="443">
        <v>140.19162884518406</v>
      </c>
      <c r="F170" s="443">
        <v>125.57794273594911</v>
      </c>
    </row>
    <row r="171" spans="1:6">
      <c r="A171" s="440"/>
      <c r="B171" s="449">
        <v>38018</v>
      </c>
      <c r="C171" s="441">
        <v>165.35</v>
      </c>
      <c r="D171" s="442">
        <v>151.78047278797999</v>
      </c>
      <c r="E171" s="443">
        <v>139.83862834089763</v>
      </c>
      <c r="F171" s="443">
        <v>125.23860021208908</v>
      </c>
    </row>
    <row r="172" spans="1:6">
      <c r="A172" s="440"/>
      <c r="B172" s="449">
        <v>38047</v>
      </c>
      <c r="C172" s="441">
        <v>165.76</v>
      </c>
      <c r="D172" s="442">
        <v>152.41949248747915</v>
      </c>
      <c r="E172" s="443">
        <v>140.89762985375691</v>
      </c>
      <c r="F172" s="443">
        <v>126.25132555673385</v>
      </c>
    </row>
    <row r="173" spans="1:6">
      <c r="A173" s="440"/>
      <c r="B173" s="450">
        <v>38078</v>
      </c>
      <c r="C173" s="441">
        <v>168.995</v>
      </c>
      <c r="D173" s="442">
        <v>155.03550250417365</v>
      </c>
      <c r="E173" s="443">
        <v>140.89762985375691</v>
      </c>
      <c r="F173" s="443">
        <v>126.32555673382822</v>
      </c>
    </row>
    <row r="174" spans="1:6">
      <c r="A174" s="440"/>
      <c r="B174" s="449">
        <v>38108</v>
      </c>
      <c r="C174" s="441">
        <v>172.13</v>
      </c>
      <c r="D174" s="442">
        <v>156.72024040066776</v>
      </c>
      <c r="E174" s="443">
        <v>141.25063035804337</v>
      </c>
      <c r="F174" s="443">
        <v>126.71792152704136</v>
      </c>
    </row>
    <row r="175" spans="1:6">
      <c r="A175" s="440"/>
      <c r="B175" s="449">
        <v>38139</v>
      </c>
      <c r="C175" s="441">
        <v>173.26499999999999</v>
      </c>
      <c r="D175" s="442">
        <v>157.67923071786311</v>
      </c>
      <c r="E175" s="443">
        <v>140.64548663640946</v>
      </c>
      <c r="F175" s="443">
        <v>126.14528101802757</v>
      </c>
    </row>
    <row r="176" spans="1:6">
      <c r="A176" s="440"/>
      <c r="B176" s="449">
        <v>38169</v>
      </c>
      <c r="C176" s="441">
        <v>173.76</v>
      </c>
      <c r="D176" s="442">
        <v>157.87239799666111</v>
      </c>
      <c r="E176" s="443">
        <v>140.44377206253151</v>
      </c>
      <c r="F176" s="443">
        <v>125.93319194061505</v>
      </c>
    </row>
    <row r="177" spans="1:6">
      <c r="A177" s="440"/>
      <c r="B177" s="449">
        <v>38200</v>
      </c>
      <c r="C177" s="441">
        <v>174.19499999999999</v>
      </c>
      <c r="D177" s="442">
        <v>158.08657829716194</v>
      </c>
      <c r="E177" s="443">
        <v>140.29248613212303</v>
      </c>
      <c r="F177" s="443">
        <v>125.76882290562035</v>
      </c>
    </row>
    <row r="178" spans="1:6">
      <c r="A178" s="440"/>
      <c r="B178" s="449">
        <v>38231</v>
      </c>
      <c r="C178" s="441">
        <v>174.55</v>
      </c>
      <c r="D178" s="442">
        <v>158.70622103505843</v>
      </c>
      <c r="E178" s="443">
        <v>141.30105900151284</v>
      </c>
      <c r="F178" s="443">
        <v>126.72852598091198</v>
      </c>
    </row>
    <row r="179" spans="1:6">
      <c r="A179" s="440"/>
      <c r="B179" s="449">
        <v>38261</v>
      </c>
      <c r="C179" s="441">
        <v>175.29</v>
      </c>
      <c r="D179" s="442">
        <v>159.46713255425712</v>
      </c>
      <c r="E179" s="443">
        <v>141.70448814926877</v>
      </c>
      <c r="F179" s="443">
        <v>127.3488865323436</v>
      </c>
    </row>
    <row r="180" spans="1:6">
      <c r="A180" s="440"/>
      <c r="B180" s="449">
        <v>38292</v>
      </c>
      <c r="C180" s="441">
        <v>175.15</v>
      </c>
      <c r="D180" s="442">
        <v>159.25542103505845</v>
      </c>
      <c r="E180" s="443">
        <v>140.89762985375691</v>
      </c>
      <c r="F180" s="443">
        <v>126.43690349946979</v>
      </c>
    </row>
    <row r="181" spans="1:6">
      <c r="A181" s="444"/>
      <c r="B181" s="449">
        <v>38322</v>
      </c>
      <c r="C181" s="441">
        <v>175.89500000000001</v>
      </c>
      <c r="D181" s="442">
        <v>158.66367011686145</v>
      </c>
      <c r="E181" s="443">
        <v>140.89762985375691</v>
      </c>
      <c r="F181" s="443">
        <v>126.42629904559914</v>
      </c>
    </row>
    <row r="182" spans="1:6">
      <c r="A182" s="439">
        <v>2005</v>
      </c>
      <c r="B182" s="449">
        <v>38353</v>
      </c>
      <c r="C182" s="441">
        <v>177.5</v>
      </c>
      <c r="D182" s="442">
        <v>158.51158464106845</v>
      </c>
      <c r="E182" s="443">
        <v>140.14120020171455</v>
      </c>
      <c r="F182" s="443">
        <v>125.32873806998941</v>
      </c>
    </row>
    <row r="183" spans="1:6">
      <c r="A183" s="440"/>
      <c r="B183" s="449">
        <v>38384</v>
      </c>
      <c r="C183" s="441">
        <v>177.99</v>
      </c>
      <c r="D183" s="442">
        <v>159.5341749582638</v>
      </c>
      <c r="E183" s="443">
        <v>140.79677256681794</v>
      </c>
      <c r="F183" s="443">
        <v>125.98091198303287</v>
      </c>
    </row>
    <row r="184" spans="1:6">
      <c r="A184" s="440"/>
      <c r="B184" s="449">
        <v>38412</v>
      </c>
      <c r="C184" s="441">
        <v>178.98500000000001</v>
      </c>
      <c r="D184" s="442">
        <v>161.10971953255427</v>
      </c>
      <c r="E184" s="443">
        <v>141.09934442763489</v>
      </c>
      <c r="F184" s="443">
        <v>126.18769883351008</v>
      </c>
    </row>
    <row r="185" spans="1:6">
      <c r="A185" s="440"/>
      <c r="B185" s="450">
        <v>38443</v>
      </c>
      <c r="C185" s="441">
        <v>180.16</v>
      </c>
      <c r="D185" s="442">
        <v>163.1440247078464</v>
      </c>
      <c r="E185" s="443">
        <v>141.30105900151284</v>
      </c>
      <c r="F185" s="443">
        <v>126.41569459172852</v>
      </c>
    </row>
    <row r="186" spans="1:6">
      <c r="A186" s="440"/>
      <c r="B186" s="449">
        <v>38473</v>
      </c>
      <c r="C186" s="441">
        <v>180.29</v>
      </c>
      <c r="D186" s="442">
        <v>164.12014958263774</v>
      </c>
      <c r="E186" s="443">
        <v>141.40191628845182</v>
      </c>
      <c r="F186" s="443">
        <v>126.57476139978792</v>
      </c>
    </row>
    <row r="187" spans="1:6">
      <c r="A187" s="440"/>
      <c r="B187" s="449">
        <v>38504</v>
      </c>
      <c r="C187" s="441">
        <v>181.17500000000001</v>
      </c>
      <c r="D187" s="442">
        <v>165.3616186978297</v>
      </c>
      <c r="E187" s="443">
        <v>141.45234493192132</v>
      </c>
      <c r="F187" s="443">
        <v>126.67020148462356</v>
      </c>
    </row>
    <row r="188" spans="1:6">
      <c r="A188" s="440"/>
      <c r="B188" s="449">
        <v>38534</v>
      </c>
      <c r="C188" s="441">
        <v>182.08500000000001</v>
      </c>
      <c r="D188" s="442">
        <v>166.05936961602671</v>
      </c>
      <c r="E188" s="443">
        <v>140.89762985375691</v>
      </c>
      <c r="F188" s="443">
        <v>125.79533404029692</v>
      </c>
    </row>
    <row r="189" spans="1:6">
      <c r="A189" s="440"/>
      <c r="B189" s="449">
        <v>38565</v>
      </c>
      <c r="C189" s="441">
        <v>182.08</v>
      </c>
      <c r="D189" s="442">
        <v>166.94738631051754</v>
      </c>
      <c r="E189" s="443">
        <v>141.20020171457389</v>
      </c>
      <c r="F189" s="443">
        <v>125.99681866383881</v>
      </c>
    </row>
    <row r="190" spans="1:6">
      <c r="A190" s="440"/>
      <c r="B190" s="449">
        <v>38596</v>
      </c>
      <c r="C190" s="441">
        <v>183.22499999999999</v>
      </c>
      <c r="D190" s="442">
        <v>167.35095358931554</v>
      </c>
      <c r="E190" s="443">
        <v>142.1583459404942</v>
      </c>
      <c r="F190" s="443">
        <v>126.87168610816543</v>
      </c>
    </row>
    <row r="191" spans="1:6">
      <c r="A191" s="440"/>
      <c r="B191" s="449">
        <v>38626</v>
      </c>
      <c r="C191" s="441">
        <v>185.11</v>
      </c>
      <c r="D191" s="442">
        <v>169.31715392320532</v>
      </c>
      <c r="E191" s="443">
        <v>142.41048915784162</v>
      </c>
      <c r="F191" s="443">
        <v>127.05726405090138</v>
      </c>
    </row>
    <row r="192" spans="1:6">
      <c r="A192" s="440"/>
      <c r="B192" s="449">
        <v>38657</v>
      </c>
      <c r="C192" s="441">
        <v>185.07</v>
      </c>
      <c r="D192" s="442">
        <v>168.88977028380634</v>
      </c>
      <c r="E192" s="443">
        <v>142.0574886535552</v>
      </c>
      <c r="F192" s="443">
        <v>126.5694591728526</v>
      </c>
    </row>
    <row r="193" spans="1:6">
      <c r="A193" s="444"/>
      <c r="B193" s="449">
        <v>38687</v>
      </c>
      <c r="C193" s="441">
        <v>186.6</v>
      </c>
      <c r="D193" s="442">
        <v>168.27376360600999</v>
      </c>
      <c r="E193" s="443">
        <v>142.1079172970247</v>
      </c>
      <c r="F193" s="443">
        <v>126.65429480381761</v>
      </c>
    </row>
    <row r="194" spans="1:6">
      <c r="A194" s="439">
        <v>2006</v>
      </c>
      <c r="B194" s="449">
        <v>38718</v>
      </c>
      <c r="C194" s="441">
        <v>189.79305389221557</v>
      </c>
      <c r="D194" s="442">
        <v>169.791109670347</v>
      </c>
      <c r="E194" s="443">
        <v>140.99848714069591</v>
      </c>
      <c r="F194" s="443">
        <v>125.31283138918346</v>
      </c>
    </row>
    <row r="195" spans="1:6">
      <c r="A195" s="440"/>
      <c r="B195" s="449">
        <v>38749</v>
      </c>
      <c r="C195" s="441">
        <v>192.09305389221558</v>
      </c>
      <c r="D195" s="442">
        <v>169.40564513122592</v>
      </c>
      <c r="E195" s="443">
        <v>141.65405950579927</v>
      </c>
      <c r="F195" s="443">
        <v>125.90137857900319</v>
      </c>
    </row>
    <row r="196" spans="1:6">
      <c r="A196" s="440"/>
      <c r="B196" s="449">
        <v>38777</v>
      </c>
      <c r="C196" s="441">
        <v>194.62805389221558</v>
      </c>
      <c r="D196" s="442">
        <v>171.45456692440587</v>
      </c>
      <c r="E196" s="443">
        <v>142.66263237518908</v>
      </c>
      <c r="F196" s="443">
        <v>126.88759278897138</v>
      </c>
    </row>
    <row r="197" spans="1:6">
      <c r="A197" s="440"/>
      <c r="B197" s="450">
        <v>38808</v>
      </c>
      <c r="C197" s="441">
        <v>197.43197604790419</v>
      </c>
      <c r="D197" s="442">
        <v>173.71255774928707</v>
      </c>
      <c r="E197" s="443">
        <v>143.36863338376199</v>
      </c>
      <c r="F197" s="443">
        <v>127.58218451749737</v>
      </c>
    </row>
    <row r="198" spans="1:6">
      <c r="A198" s="440"/>
      <c r="B198" s="449">
        <v>38838</v>
      </c>
      <c r="C198" s="441">
        <v>201.55697604790419</v>
      </c>
      <c r="D198" s="442">
        <v>173.91562542808779</v>
      </c>
      <c r="E198" s="443">
        <v>143.62077660110944</v>
      </c>
      <c r="F198" s="443">
        <v>127.89501590668083</v>
      </c>
    </row>
    <row r="199" spans="1:6">
      <c r="A199" s="440"/>
      <c r="B199" s="449">
        <v>38869</v>
      </c>
      <c r="C199" s="441">
        <v>203.65643712574848</v>
      </c>
      <c r="D199" s="442">
        <v>174.09807319352956</v>
      </c>
      <c r="E199" s="443">
        <v>143.57034795763991</v>
      </c>
      <c r="F199" s="443">
        <v>127.83669141039236</v>
      </c>
    </row>
    <row r="200" spans="1:6">
      <c r="A200" s="440"/>
      <c r="B200" s="449">
        <v>38899</v>
      </c>
      <c r="C200" s="441">
        <v>206.3214371257485</v>
      </c>
      <c r="D200" s="442">
        <v>174.48989202075518</v>
      </c>
      <c r="E200" s="443">
        <v>143.31820474029246</v>
      </c>
      <c r="F200" s="443">
        <v>127.69883351007422</v>
      </c>
    </row>
    <row r="201" spans="1:6">
      <c r="A201" s="440"/>
      <c r="B201" s="449">
        <v>38930</v>
      </c>
      <c r="C201" s="441">
        <v>206.50643712574848</v>
      </c>
      <c r="D201" s="442">
        <v>174.43436960569713</v>
      </c>
      <c r="E201" s="443">
        <v>143.41906202723146</v>
      </c>
      <c r="F201" s="443">
        <v>127.847295864263</v>
      </c>
    </row>
    <row r="202" spans="1:6">
      <c r="A202" s="440"/>
      <c r="B202" s="449">
        <v>38961</v>
      </c>
      <c r="C202" s="441">
        <v>211.35143712574848</v>
      </c>
      <c r="D202" s="442">
        <v>174.72900723815695</v>
      </c>
      <c r="E202" s="443">
        <v>144.22592032274332</v>
      </c>
      <c r="F202" s="443">
        <v>128.70625662778369</v>
      </c>
    </row>
    <row r="203" spans="1:6">
      <c r="A203" s="440"/>
      <c r="B203" s="449">
        <v>38991</v>
      </c>
      <c r="C203" s="441">
        <v>211.5764371257485</v>
      </c>
      <c r="D203" s="442">
        <v>174.26919366822628</v>
      </c>
      <c r="E203" s="443">
        <v>144.27634896621282</v>
      </c>
      <c r="F203" s="443">
        <v>128.98197242841994</v>
      </c>
    </row>
    <row r="204" spans="1:6">
      <c r="A204" s="440"/>
      <c r="B204" s="449">
        <v>39022</v>
      </c>
      <c r="C204" s="441">
        <v>211.70125748502994</v>
      </c>
      <c r="D204" s="442">
        <v>173.43335044476328</v>
      </c>
      <c r="E204" s="443">
        <v>144.42763489662127</v>
      </c>
      <c r="F204" s="443">
        <v>129.03499469777307</v>
      </c>
    </row>
    <row r="205" spans="1:6">
      <c r="A205" s="444"/>
      <c r="B205" s="449">
        <v>39052</v>
      </c>
      <c r="C205" s="441">
        <v>211.63125748502992</v>
      </c>
      <c r="D205" s="442">
        <v>173.11339356402976</v>
      </c>
      <c r="E205" s="443">
        <v>144.42763489662127</v>
      </c>
      <c r="F205" s="443">
        <v>129.05620360551433</v>
      </c>
    </row>
    <row r="206" spans="1:6">
      <c r="A206" s="439">
        <v>2007</v>
      </c>
      <c r="B206" s="449">
        <v>39083</v>
      </c>
      <c r="C206" s="441">
        <v>208.99625748502993</v>
      </c>
      <c r="D206" s="442">
        <v>173.36894745084876</v>
      </c>
      <c r="E206" s="443">
        <v>143.72163388804839</v>
      </c>
      <c r="F206" s="443">
        <v>128.40402969247086</v>
      </c>
    </row>
    <row r="207" spans="1:6">
      <c r="A207" s="440"/>
      <c r="B207" s="449">
        <v>39114</v>
      </c>
      <c r="C207" s="441">
        <v>208.80125748502994</v>
      </c>
      <c r="D207" s="442">
        <v>173.87777898279089</v>
      </c>
      <c r="E207" s="443">
        <v>144.47806354009077</v>
      </c>
      <c r="F207" s="443">
        <v>129.13043478260872</v>
      </c>
    </row>
    <row r="208" spans="1:6">
      <c r="A208" s="440"/>
      <c r="B208" s="449">
        <v>39142</v>
      </c>
      <c r="C208" s="441">
        <v>208.56625748502992</v>
      </c>
      <c r="D208" s="442">
        <v>175.04022468682757</v>
      </c>
      <c r="E208" s="443">
        <v>145.38577912254161</v>
      </c>
      <c r="F208" s="443">
        <v>130.04772004241784</v>
      </c>
    </row>
    <row r="209" spans="1:6">
      <c r="A209" s="440"/>
      <c r="B209" s="450">
        <v>39173</v>
      </c>
      <c r="C209" s="441">
        <v>213.35810226492794</v>
      </c>
      <c r="D209" s="442">
        <v>179.51077667721199</v>
      </c>
      <c r="E209" s="443">
        <v>146.14220877458396</v>
      </c>
      <c r="F209" s="443">
        <v>130.8271474019088</v>
      </c>
    </row>
    <row r="210" spans="1:6">
      <c r="A210" s="440"/>
      <c r="B210" s="449">
        <v>39203</v>
      </c>
      <c r="C210" s="441">
        <v>213.56</v>
      </c>
      <c r="D210" s="442">
        <v>180.5173152504874</v>
      </c>
      <c r="E210" s="443">
        <v>145.99092284417549</v>
      </c>
      <c r="F210" s="443">
        <v>130.75821845174974</v>
      </c>
    </row>
    <row r="211" spans="1:6">
      <c r="A211" s="440"/>
      <c r="B211" s="449">
        <v>39234</v>
      </c>
      <c r="C211" s="441">
        <v>215.41499999999999</v>
      </c>
      <c r="D211" s="442">
        <v>181.82159060726502</v>
      </c>
      <c r="E211" s="443">
        <v>146.24306606152294</v>
      </c>
      <c r="F211" s="443">
        <v>130.98621420996818</v>
      </c>
    </row>
    <row r="212" spans="1:6">
      <c r="A212" s="440"/>
      <c r="B212" s="449">
        <v>39264</v>
      </c>
      <c r="C212" s="441">
        <v>218.08500000000001</v>
      </c>
      <c r="D212" s="442">
        <v>182.84479915490505</v>
      </c>
      <c r="E212" s="443">
        <v>145.99092284417549</v>
      </c>
      <c r="F212" s="443">
        <v>130.76882290562034</v>
      </c>
    </row>
    <row r="213" spans="1:6">
      <c r="A213" s="440"/>
      <c r="B213" s="449">
        <v>39295</v>
      </c>
      <c r="C213" s="441">
        <v>218.005</v>
      </c>
      <c r="D213" s="442">
        <v>183.3820800148286</v>
      </c>
      <c r="E213" s="443">
        <v>145.94049420070598</v>
      </c>
      <c r="F213" s="443">
        <v>130.58854718981971</v>
      </c>
    </row>
    <row r="214" spans="1:6">
      <c r="A214" s="440"/>
      <c r="B214" s="449">
        <v>39326</v>
      </c>
      <c r="C214" s="441">
        <v>218.10499999999999</v>
      </c>
      <c r="D214" s="442">
        <v>184.03795133976425</v>
      </c>
      <c r="E214" s="443">
        <v>147.40292486132122</v>
      </c>
      <c r="F214" s="443">
        <v>132.06786850477201</v>
      </c>
    </row>
    <row r="215" spans="1:6">
      <c r="A215" s="440"/>
      <c r="B215" s="449">
        <v>39356</v>
      </c>
      <c r="C215" s="441">
        <v>218.20500000000001</v>
      </c>
      <c r="D215" s="442">
        <v>184.57391694615805</v>
      </c>
      <c r="E215" s="443">
        <v>148.20978315683305</v>
      </c>
      <c r="F215" s="443">
        <v>132.78897136797457</v>
      </c>
    </row>
    <row r="216" spans="1:6">
      <c r="A216" s="440"/>
      <c r="B216" s="449">
        <v>39387</v>
      </c>
      <c r="C216" s="441">
        <v>218.63499999999999</v>
      </c>
      <c r="D216" s="442">
        <v>185.4668045238372</v>
      </c>
      <c r="E216" s="443">
        <v>149.16792738275339</v>
      </c>
      <c r="F216" s="443">
        <v>133.59490986214212</v>
      </c>
    </row>
    <row r="217" spans="1:6">
      <c r="A217" s="444"/>
      <c r="B217" s="449">
        <v>39417</v>
      </c>
      <c r="C217" s="441">
        <v>218.625</v>
      </c>
      <c r="D217" s="442">
        <v>187.25640986822245</v>
      </c>
      <c r="E217" s="443">
        <v>149.42007060010084</v>
      </c>
      <c r="F217" s="443">
        <v>133.91304347826087</v>
      </c>
    </row>
    <row r="218" spans="1:6">
      <c r="A218" s="439">
        <v>2008</v>
      </c>
      <c r="B218" s="449">
        <v>39448</v>
      </c>
      <c r="C218" s="441">
        <v>220.60067521885844</v>
      </c>
      <c r="D218" s="442">
        <v>187.33798399356709</v>
      </c>
      <c r="E218" s="443">
        <v>148.3055975794251</v>
      </c>
      <c r="F218" s="443">
        <v>131.52173913043478</v>
      </c>
    </row>
    <row r="219" spans="1:6">
      <c r="A219" s="440"/>
      <c r="B219" s="449">
        <v>39479</v>
      </c>
      <c r="C219" s="441">
        <v>221.05796382626653</v>
      </c>
      <c r="D219" s="442">
        <v>188.55979815689611</v>
      </c>
      <c r="E219" s="443">
        <v>148.90569843671202</v>
      </c>
      <c r="F219" s="443">
        <v>132.07317073170734</v>
      </c>
    </row>
    <row r="220" spans="1:6">
      <c r="A220" s="440"/>
      <c r="B220" s="449">
        <v>39508</v>
      </c>
      <c r="C220" s="441">
        <v>223.41697667079882</v>
      </c>
      <c r="D220" s="442">
        <v>189.65890467407803</v>
      </c>
      <c r="E220" s="443">
        <v>150.31770045385778</v>
      </c>
      <c r="F220" s="443">
        <v>133.48886532343585</v>
      </c>
    </row>
    <row r="221" spans="1:6">
      <c r="A221" s="440"/>
      <c r="B221" s="450">
        <v>39539</v>
      </c>
      <c r="C221" s="441">
        <v>227.66667743661412</v>
      </c>
      <c r="D221" s="442">
        <v>192.721513243267</v>
      </c>
      <c r="E221" s="443">
        <v>151.11951588502268</v>
      </c>
      <c r="F221" s="443">
        <v>134.19406150583245</v>
      </c>
    </row>
    <row r="222" spans="1:6">
      <c r="A222" s="440"/>
      <c r="B222" s="449">
        <v>39569</v>
      </c>
      <c r="C222" s="441">
        <v>229.16220135164977</v>
      </c>
      <c r="D222" s="442">
        <v>195.89391305764465</v>
      </c>
      <c r="E222" s="443">
        <v>151.78517397881996</v>
      </c>
      <c r="F222" s="443">
        <v>134.7030752916225</v>
      </c>
    </row>
    <row r="223" spans="1:6">
      <c r="A223" s="440"/>
      <c r="B223" s="449">
        <v>39600</v>
      </c>
      <c r="C223" s="441">
        <v>230.30791072525682</v>
      </c>
      <c r="D223" s="442">
        <v>199.10589803814617</v>
      </c>
      <c r="E223" s="443">
        <v>152.52143217347452</v>
      </c>
      <c r="F223" s="443">
        <v>135.50901378579005</v>
      </c>
    </row>
    <row r="224" spans="1:6">
      <c r="A224" s="440"/>
      <c r="B224" s="449">
        <v>39630</v>
      </c>
      <c r="C224" s="441">
        <v>232.72133248800449</v>
      </c>
      <c r="D224" s="442">
        <v>202.05784037256865</v>
      </c>
      <c r="E224" s="443">
        <v>152.34997478567826</v>
      </c>
      <c r="F224" s="443">
        <v>135.25980911983032</v>
      </c>
    </row>
    <row r="225" spans="1:6">
      <c r="A225" s="440"/>
      <c r="B225" s="449">
        <v>39661</v>
      </c>
      <c r="C225" s="441">
        <v>232.71828958563921</v>
      </c>
      <c r="D225" s="442">
        <v>203.32420703439806</v>
      </c>
      <c r="E225" s="443">
        <v>152.28441754916793</v>
      </c>
      <c r="F225" s="443">
        <v>135.45068928950158</v>
      </c>
    </row>
    <row r="226" spans="1:6">
      <c r="A226" s="440"/>
      <c r="B226" s="449">
        <v>39692</v>
      </c>
      <c r="C226" s="441">
        <v>233.35635771282955</v>
      </c>
      <c r="D226" s="442">
        <v>202.96638650052807</v>
      </c>
      <c r="E226" s="443">
        <v>153.84770549672214</v>
      </c>
      <c r="F226" s="443">
        <v>137.04135737009545</v>
      </c>
    </row>
    <row r="227" spans="1:6">
      <c r="A227" s="440"/>
      <c r="B227" s="449">
        <v>39722</v>
      </c>
      <c r="C227" s="441">
        <v>234.39922918597759</v>
      </c>
      <c r="D227" s="442">
        <v>200.72070717988535</v>
      </c>
      <c r="E227" s="443">
        <v>154.0897629853757</v>
      </c>
      <c r="F227" s="443">
        <v>137.40190880169672</v>
      </c>
    </row>
    <row r="228" spans="1:6">
      <c r="A228" s="440"/>
      <c r="B228" s="449">
        <v>39753</v>
      </c>
      <c r="C228" s="441">
        <v>233.55930027169438</v>
      </c>
      <c r="D228" s="442">
        <v>196.89546443604956</v>
      </c>
      <c r="E228" s="443">
        <v>152.82904689863841</v>
      </c>
      <c r="F228" s="443">
        <v>135.95440084835633</v>
      </c>
    </row>
    <row r="229" spans="1:6">
      <c r="A229" s="444"/>
      <c r="B229" s="449">
        <v>39783</v>
      </c>
      <c r="C229" s="441">
        <v>233.12118451596945</v>
      </c>
      <c r="D229" s="442">
        <v>189.72068928244053</v>
      </c>
      <c r="E229" s="443">
        <v>150.77660110943015</v>
      </c>
      <c r="F229" s="443">
        <v>133.66383881230118</v>
      </c>
    </row>
    <row r="230" spans="1:6">
      <c r="A230" s="439">
        <v>2009</v>
      </c>
      <c r="B230" s="449">
        <v>39814</v>
      </c>
      <c r="C230" s="441">
        <v>232.45807676415083</v>
      </c>
      <c r="D230" s="442">
        <v>187.4479995446174</v>
      </c>
      <c r="E230" s="443">
        <v>150.21684316691878</v>
      </c>
      <c r="F230" s="443">
        <v>133.00636267232238</v>
      </c>
    </row>
    <row r="231" spans="1:6">
      <c r="A231" s="440"/>
      <c r="B231" s="449">
        <v>39845</v>
      </c>
      <c r="C231" s="441">
        <v>230.5701013502956</v>
      </c>
      <c r="D231" s="442">
        <v>187.97742507252585</v>
      </c>
      <c r="E231" s="443">
        <v>150.25214321734742</v>
      </c>
      <c r="F231" s="443">
        <v>132.88971367974548</v>
      </c>
    </row>
    <row r="232" spans="1:6">
      <c r="A232" s="440"/>
      <c r="B232" s="449">
        <v>39873</v>
      </c>
      <c r="C232" s="441">
        <v>230.6871403939879</v>
      </c>
      <c r="D232" s="442">
        <v>189.62328470770544</v>
      </c>
      <c r="E232" s="443">
        <v>150.68078668683813</v>
      </c>
      <c r="F232" s="443">
        <v>133.22905620360552</v>
      </c>
    </row>
    <row r="233" spans="1:6">
      <c r="A233" s="440"/>
      <c r="B233" s="450">
        <v>39904</v>
      </c>
      <c r="C233" s="441">
        <v>232.19795771583711</v>
      </c>
      <c r="D233" s="442">
        <v>191.65719571231398</v>
      </c>
      <c r="E233" s="443">
        <v>150.91275844679777</v>
      </c>
      <c r="F233" s="443">
        <v>133.5100742311771</v>
      </c>
    </row>
    <row r="234" spans="1:6">
      <c r="A234" s="440"/>
      <c r="B234" s="449">
        <v>39934</v>
      </c>
      <c r="C234" s="441">
        <v>232.18481158619045</v>
      </c>
      <c r="D234" s="442">
        <v>191.99539107095683</v>
      </c>
      <c r="E234" s="443">
        <v>151.00857286938981</v>
      </c>
      <c r="F234" s="443">
        <v>133.75397667020147</v>
      </c>
    </row>
    <row r="235" spans="1:6">
      <c r="A235" s="440"/>
      <c r="B235" s="449">
        <v>39965</v>
      </c>
      <c r="C235" s="441">
        <v>233.44527259596683</v>
      </c>
      <c r="D235" s="442">
        <v>193.69194412323628</v>
      </c>
      <c r="E235" s="443">
        <v>151.37165910237013</v>
      </c>
      <c r="F235" s="443">
        <v>134.10392364793213</v>
      </c>
    </row>
    <row r="236" spans="1:6">
      <c r="A236" s="440"/>
      <c r="B236" s="449">
        <v>39995</v>
      </c>
      <c r="C236" s="441">
        <v>233.91221689802708</v>
      </c>
      <c r="D236" s="442">
        <v>194.85339459828629</v>
      </c>
      <c r="E236" s="443">
        <v>150.68078668683813</v>
      </c>
      <c r="F236" s="443">
        <v>133.28738069989396</v>
      </c>
    </row>
    <row r="237" spans="1:6">
      <c r="A237" s="440"/>
      <c r="B237" s="449">
        <v>40026</v>
      </c>
      <c r="C237" s="441">
        <v>235.01817932156601</v>
      </c>
      <c r="D237" s="442">
        <v>195.7299019928133</v>
      </c>
      <c r="E237" s="443">
        <v>150.99344427634898</v>
      </c>
      <c r="F237" s="443">
        <v>133.52598091198305</v>
      </c>
    </row>
    <row r="238" spans="1:6">
      <c r="A238" s="440"/>
      <c r="B238" s="449">
        <v>40057</v>
      </c>
      <c r="C238" s="441">
        <v>235.05606417956665</v>
      </c>
      <c r="D238" s="442">
        <v>195.84879183425753</v>
      </c>
      <c r="E238" s="443">
        <v>151.46243066061521</v>
      </c>
      <c r="F238" s="443">
        <v>133.93955461293746</v>
      </c>
    </row>
    <row r="239" spans="1:6">
      <c r="A239" s="440"/>
      <c r="B239" s="449">
        <v>40087</v>
      </c>
      <c r="C239" s="441">
        <v>237.35352363537723</v>
      </c>
      <c r="D239" s="442">
        <v>195.9053881510074</v>
      </c>
      <c r="E239" s="443">
        <v>151.84568835098335</v>
      </c>
      <c r="F239" s="443">
        <v>134.23647932131496</v>
      </c>
    </row>
    <row r="240" spans="1:6">
      <c r="A240" s="440"/>
      <c r="B240" s="449">
        <v>40118</v>
      </c>
      <c r="C240" s="441">
        <v>237.39159109493838</v>
      </c>
      <c r="D240" s="442">
        <v>195.26498578718926</v>
      </c>
      <c r="E240" s="443">
        <v>151.80534543620774</v>
      </c>
      <c r="F240" s="443">
        <v>134.11983032873806</v>
      </c>
    </row>
    <row r="241" spans="1:8">
      <c r="A241" s="444"/>
      <c r="B241" s="449">
        <v>40148</v>
      </c>
      <c r="C241" s="441">
        <v>237.37834712123785</v>
      </c>
      <c r="D241" s="442">
        <v>197.21656029945768</v>
      </c>
      <c r="E241" s="443">
        <v>152.13817448310641</v>
      </c>
      <c r="F241" s="443">
        <v>134.43796394485685</v>
      </c>
    </row>
    <row r="242" spans="1:8">
      <c r="A242" s="439">
        <v>2010</v>
      </c>
      <c r="B242" s="449">
        <v>40179</v>
      </c>
      <c r="C242" s="441">
        <v>237.56974701508162</v>
      </c>
      <c r="D242" s="442">
        <v>196.83418219032592</v>
      </c>
      <c r="E242" s="443">
        <v>151.1800302571861</v>
      </c>
      <c r="F242" s="443">
        <v>134.16224814422057</v>
      </c>
    </row>
    <row r="243" spans="1:8">
      <c r="A243" s="440"/>
      <c r="B243" s="449">
        <v>40210</v>
      </c>
      <c r="C243" s="441">
        <v>239.55905967697566</v>
      </c>
      <c r="D243" s="442">
        <v>196.98104485875214</v>
      </c>
      <c r="E243" s="443">
        <v>152.08774583963688</v>
      </c>
      <c r="F243" s="443">
        <v>134.9946977730647</v>
      </c>
    </row>
    <row r="244" spans="1:8">
      <c r="A244" s="440"/>
      <c r="B244" s="449">
        <v>40238</v>
      </c>
      <c r="C244" s="441">
        <v>241.47443419739545</v>
      </c>
      <c r="D244" s="442">
        <v>197.46487921885355</v>
      </c>
      <c r="E244" s="443">
        <v>152.45587493696416</v>
      </c>
      <c r="F244" s="443">
        <v>135.36585365853659</v>
      </c>
    </row>
    <row r="245" spans="1:8">
      <c r="A245" s="440"/>
      <c r="B245" s="450">
        <v>40269</v>
      </c>
      <c r="C245" s="441">
        <v>242.98280680235089</v>
      </c>
      <c r="D245" s="442">
        <v>200.05022174817114</v>
      </c>
      <c r="E245" s="443">
        <v>152.47604639435198</v>
      </c>
      <c r="F245" s="443">
        <v>135.42417815482503</v>
      </c>
    </row>
    <row r="246" spans="1:8">
      <c r="A246" s="440"/>
      <c r="B246" s="449">
        <v>40299</v>
      </c>
      <c r="C246" s="441">
        <v>247.44044628756598</v>
      </c>
      <c r="D246" s="442">
        <v>201.95581427060426</v>
      </c>
      <c r="E246" s="443">
        <v>152.75844679778115</v>
      </c>
      <c r="F246" s="443">
        <v>135.84835630965003</v>
      </c>
    </row>
    <row r="247" spans="1:8">
      <c r="A247" s="440"/>
      <c r="B247" s="449">
        <v>40330</v>
      </c>
      <c r="C247" s="441">
        <v>247.70884305494093</v>
      </c>
      <c r="D247" s="442">
        <v>203.01471747004919</v>
      </c>
      <c r="E247" s="443">
        <v>152.7836611195159</v>
      </c>
      <c r="F247" s="443">
        <v>135.87486744432661</v>
      </c>
    </row>
    <row r="248" spans="1:8">
      <c r="A248" s="440"/>
      <c r="B248" s="449">
        <v>40360</v>
      </c>
      <c r="C248" s="441">
        <v>249.14551925925059</v>
      </c>
      <c r="D248" s="442">
        <v>202.33057380319357</v>
      </c>
      <c r="E248" s="443">
        <v>152.31467473524961</v>
      </c>
      <c r="F248" s="443">
        <v>135.49840933191942</v>
      </c>
    </row>
    <row r="249" spans="1:8">
      <c r="A249" s="440"/>
      <c r="B249" s="449">
        <v>40391</v>
      </c>
      <c r="C249" s="441">
        <v>249.1134551286458</v>
      </c>
      <c r="D249" s="442">
        <v>201.99015374687337</v>
      </c>
      <c r="E249" s="443">
        <v>152.32476046394353</v>
      </c>
      <c r="F249" s="443">
        <v>135.47189819724287</v>
      </c>
    </row>
    <row r="250" spans="1:8">
      <c r="A250" s="440"/>
      <c r="B250" s="449">
        <v>40422</v>
      </c>
      <c r="C250" s="441">
        <v>248.57779481470368</v>
      </c>
      <c r="D250" s="442">
        <v>201.97610664615419</v>
      </c>
      <c r="E250" s="443">
        <v>153.60564800806858</v>
      </c>
      <c r="F250" s="443">
        <v>136.70201484623541</v>
      </c>
    </row>
    <row r="251" spans="1:8">
      <c r="A251" s="440"/>
      <c r="B251" s="449">
        <v>40452</v>
      </c>
      <c r="C251" s="441">
        <v>250.90290070368283</v>
      </c>
      <c r="D251" s="442">
        <v>201.81924573293097</v>
      </c>
      <c r="E251" s="443">
        <v>154.09480584972263</v>
      </c>
      <c r="F251" s="443">
        <v>137.07317073170731</v>
      </c>
    </row>
    <row r="252" spans="1:8">
      <c r="A252" s="440"/>
      <c r="B252" s="449">
        <v>40483</v>
      </c>
      <c r="C252" s="441">
        <v>250.97249892529601</v>
      </c>
      <c r="D252" s="442">
        <v>201.61284114280329</v>
      </c>
      <c r="E252" s="443">
        <v>154.60413514876447</v>
      </c>
      <c r="F252" s="443">
        <v>137.5503711558855</v>
      </c>
      <c r="H252" s="445"/>
    </row>
    <row r="253" spans="1:8">
      <c r="A253" s="444"/>
      <c r="B253" s="449">
        <v>40513</v>
      </c>
      <c r="C253" s="441">
        <v>251.24696582486581</v>
      </c>
      <c r="D253" s="442">
        <v>202.45136988392969</v>
      </c>
      <c r="E253" s="443">
        <v>155.68835098335856</v>
      </c>
      <c r="F253" s="443">
        <v>138.55249204665961</v>
      </c>
    </row>
    <row r="254" spans="1:8">
      <c r="A254" s="439">
        <v>2011</v>
      </c>
      <c r="B254" s="449">
        <v>40544</v>
      </c>
      <c r="C254" s="441">
        <v>253.345</v>
      </c>
      <c r="D254" s="442">
        <v>204.8676331028384</v>
      </c>
      <c r="E254" s="443">
        <v>154.38729198184566</v>
      </c>
      <c r="F254" s="443">
        <v>135.93319194061507</v>
      </c>
    </row>
    <row r="255" spans="1:8">
      <c r="A255" s="440"/>
      <c r="B255" s="449">
        <v>40575</v>
      </c>
      <c r="C255" s="441">
        <v>254.065</v>
      </c>
      <c r="D255" s="442">
        <v>206.77914662922925</v>
      </c>
      <c r="E255" s="443">
        <v>155.33030761472514</v>
      </c>
      <c r="F255" s="443">
        <v>136.9034994697773</v>
      </c>
    </row>
    <row r="256" spans="1:8">
      <c r="A256" s="440"/>
      <c r="B256" s="449">
        <v>40603</v>
      </c>
      <c r="C256" s="441">
        <v>254.44</v>
      </c>
      <c r="D256" s="442">
        <v>207.77698513152879</v>
      </c>
      <c r="E256" s="443">
        <v>156.38426626323752</v>
      </c>
      <c r="F256" s="443">
        <v>137.94803817603395</v>
      </c>
    </row>
    <row r="257" spans="1:6">
      <c r="A257" s="440"/>
      <c r="B257" s="450">
        <v>40634</v>
      </c>
      <c r="C257" s="441">
        <v>258.28500000000003</v>
      </c>
      <c r="D257" s="442">
        <v>211.54568096688766</v>
      </c>
      <c r="E257" s="443">
        <v>157.05496722138173</v>
      </c>
      <c r="F257" s="443">
        <v>138.69565217391303</v>
      </c>
    </row>
    <row r="258" spans="1:6">
      <c r="A258" s="440"/>
      <c r="B258" s="449">
        <v>40664</v>
      </c>
      <c r="C258" s="441">
        <v>258.32499999999999</v>
      </c>
      <c r="D258" s="442">
        <v>211.8039268285807</v>
      </c>
      <c r="E258" s="443">
        <v>157.34745335350476</v>
      </c>
      <c r="F258" s="443">
        <v>139.08801696712621</v>
      </c>
    </row>
    <row r="259" spans="1:6">
      <c r="A259" s="440"/>
      <c r="B259" s="449">
        <v>40695</v>
      </c>
      <c r="C259" s="441">
        <v>258.53500000000003</v>
      </c>
      <c r="D259" s="442">
        <v>212.05003218731883</v>
      </c>
      <c r="E259" s="443">
        <v>156.97428139183054</v>
      </c>
      <c r="F259" s="443">
        <v>138.76988335100745</v>
      </c>
    </row>
    <row r="260" spans="1:6">
      <c r="A260" s="440"/>
      <c r="B260" s="449">
        <v>40725</v>
      </c>
      <c r="C260" s="441">
        <v>260.52999999999997</v>
      </c>
      <c r="D260" s="442">
        <v>212.30004155804335</v>
      </c>
      <c r="E260" s="443">
        <v>156.89863842662629</v>
      </c>
      <c r="F260" s="443">
        <v>138.82820784729586</v>
      </c>
    </row>
    <row r="261" spans="1:6">
      <c r="A261" s="440"/>
      <c r="B261" s="449">
        <v>40756</v>
      </c>
      <c r="C261" s="441">
        <v>260.83</v>
      </c>
      <c r="D261" s="442">
        <v>213.05848651705833</v>
      </c>
      <c r="E261" s="443">
        <v>156.94906707009582</v>
      </c>
      <c r="F261" s="443">
        <v>138.79109225874868</v>
      </c>
    </row>
    <row r="262" spans="1:6">
      <c r="A262" s="440"/>
      <c r="B262" s="449">
        <v>40787</v>
      </c>
      <c r="C262" s="441">
        <v>261.08499999999998</v>
      </c>
      <c r="D262" s="442">
        <v>213.59362847990946</v>
      </c>
      <c r="E262" s="443">
        <v>158.04841149773071</v>
      </c>
      <c r="F262" s="443">
        <v>139.83563096500532</v>
      </c>
    </row>
    <row r="263" spans="1:6">
      <c r="A263" s="440"/>
      <c r="B263" s="449">
        <v>40817</v>
      </c>
      <c r="C263" s="441">
        <v>262.36751171784209</v>
      </c>
      <c r="D263" s="442">
        <v>213.94958513607511</v>
      </c>
      <c r="E263" s="443">
        <v>158.05345436207764</v>
      </c>
      <c r="F263" s="443">
        <v>139.80911983032877</v>
      </c>
    </row>
    <row r="264" spans="1:6">
      <c r="A264" s="440"/>
      <c r="B264" s="449">
        <v>40848</v>
      </c>
      <c r="C264" s="441">
        <v>262.60413809890866</v>
      </c>
      <c r="D264" s="442">
        <v>214.99631385818091</v>
      </c>
      <c r="E264" s="443">
        <v>158.42662632375189</v>
      </c>
      <c r="F264" s="443">
        <v>140.08483563096502</v>
      </c>
    </row>
    <row r="265" spans="1:6">
      <c r="A265" s="444"/>
      <c r="B265" s="449">
        <v>40878</v>
      </c>
      <c r="C265" s="441">
        <v>262.49476900681651</v>
      </c>
      <c r="D265" s="442">
        <v>215.01099627982123</v>
      </c>
      <c r="E265" s="443">
        <v>158.73928391326271</v>
      </c>
      <c r="F265" s="443">
        <v>140.46129374337224</v>
      </c>
    </row>
    <row r="266" spans="1:6">
      <c r="A266" s="439">
        <v>2012</v>
      </c>
      <c r="B266" s="449">
        <v>40909</v>
      </c>
      <c r="C266" s="441">
        <v>264.07183053516297</v>
      </c>
      <c r="D266" s="442">
        <v>215.92198351961824</v>
      </c>
      <c r="E266" s="443">
        <v>157.26172465960667</v>
      </c>
      <c r="F266" s="443">
        <v>139.26829268292684</v>
      </c>
    </row>
    <row r="267" spans="1:6">
      <c r="A267" s="440"/>
      <c r="B267" s="449">
        <v>40940</v>
      </c>
      <c r="C267" s="441">
        <v>264.11061654779877</v>
      </c>
      <c r="D267" s="442">
        <v>217.07647070433507</v>
      </c>
      <c r="E267" s="443">
        <v>158.3055975794251</v>
      </c>
      <c r="F267" s="443">
        <v>140.30752916224816</v>
      </c>
    </row>
    <row r="268" spans="1:6">
      <c r="A268" s="440"/>
      <c r="B268" s="449">
        <v>40969</v>
      </c>
      <c r="C268" s="441">
        <v>266.10679684624984</v>
      </c>
      <c r="D268" s="442">
        <v>220.28184012099686</v>
      </c>
      <c r="E268" s="443">
        <v>158.74936964195663</v>
      </c>
      <c r="F268" s="443">
        <v>140.71049840933193</v>
      </c>
    </row>
    <row r="269" spans="1:6">
      <c r="A269" s="457"/>
      <c r="B269" s="450">
        <v>41000</v>
      </c>
      <c r="C269" s="441">
        <v>267.09781053281631</v>
      </c>
      <c r="D269" s="442">
        <v>221.23895925958274</v>
      </c>
      <c r="E269" s="443">
        <v>159.09732728189613</v>
      </c>
      <c r="F269" s="443">
        <v>141.0710498409332</v>
      </c>
    </row>
    <row r="270" spans="1:6">
      <c r="A270" s="440"/>
      <c r="B270" s="449">
        <v>41030</v>
      </c>
      <c r="C270" s="441">
        <v>267.72131395838176</v>
      </c>
      <c r="D270" s="442">
        <v>222.05876598066999</v>
      </c>
      <c r="E270" s="443">
        <v>158.96621280887544</v>
      </c>
      <c r="F270" s="443">
        <v>141.0763520678685</v>
      </c>
    </row>
    <row r="271" spans="1:6">
      <c r="A271" s="440"/>
      <c r="B271" s="449">
        <v>41061</v>
      </c>
      <c r="C271" s="441">
        <v>267.37809840135446</v>
      </c>
      <c r="D271" s="442">
        <v>220.50399438887965</v>
      </c>
      <c r="E271" s="443">
        <v>158.57286938981341</v>
      </c>
      <c r="F271" s="443">
        <v>140.76352067868507</v>
      </c>
    </row>
    <row r="272" spans="1:6">
      <c r="A272" s="440"/>
      <c r="B272" s="449">
        <v>41091</v>
      </c>
      <c r="C272" s="441">
        <v>267.3010676474139</v>
      </c>
      <c r="D272" s="442">
        <v>218.8922155574972</v>
      </c>
      <c r="E272" s="443">
        <v>157.95763993948563</v>
      </c>
      <c r="F272" s="443">
        <v>140.22269353128314</v>
      </c>
    </row>
    <row r="273" spans="1:6">
      <c r="A273" s="440"/>
      <c r="B273" s="449">
        <v>41122</v>
      </c>
      <c r="C273" s="441">
        <v>267.32847184720765</v>
      </c>
      <c r="D273" s="442">
        <v>216.35037965027831</v>
      </c>
      <c r="E273" s="443">
        <v>158.11901159858797</v>
      </c>
      <c r="F273" s="443">
        <v>140.27041357370095</v>
      </c>
    </row>
    <row r="274" spans="1:6">
      <c r="A274" s="440"/>
      <c r="B274" s="449">
        <v>41153</v>
      </c>
      <c r="C274" s="441">
        <v>267.3994735954912</v>
      </c>
      <c r="D274" s="442">
        <v>218.03683440877481</v>
      </c>
      <c r="E274" s="443">
        <v>158.75441250630357</v>
      </c>
      <c r="F274" s="443">
        <v>140.80593849416755</v>
      </c>
    </row>
    <row r="275" spans="1:6">
      <c r="A275" s="440"/>
      <c r="B275" s="449">
        <v>41183</v>
      </c>
      <c r="C275" s="441">
        <v>267.42889578190733</v>
      </c>
      <c r="D275" s="442">
        <v>218.45982067516104</v>
      </c>
      <c r="E275" s="443">
        <v>158.64346949067067</v>
      </c>
      <c r="F275" s="443">
        <v>140.62036055143159</v>
      </c>
    </row>
    <row r="276" spans="1:6">
      <c r="A276" s="440"/>
      <c r="B276" s="449">
        <v>41214</v>
      </c>
      <c r="C276" s="441">
        <v>267.39189050328861</v>
      </c>
      <c r="D276" s="442">
        <v>217.07180490611663</v>
      </c>
      <c r="E276" s="443">
        <v>158.25516893595562</v>
      </c>
      <c r="F276" s="443">
        <v>140.1219512195122</v>
      </c>
    </row>
    <row r="277" spans="1:6">
      <c r="A277" s="444"/>
      <c r="B277" s="449">
        <v>41244</v>
      </c>
      <c r="C277" s="441">
        <v>267.3269824834764</v>
      </c>
      <c r="D277" s="442">
        <v>215.74596762819044</v>
      </c>
      <c r="E277" s="443">
        <v>158.65355521936459</v>
      </c>
      <c r="F277" s="443">
        <v>140.48780487804876</v>
      </c>
    </row>
    <row r="278" spans="1:6">
      <c r="A278" s="439">
        <v>2013</v>
      </c>
      <c r="B278" s="449">
        <v>41275</v>
      </c>
      <c r="C278" s="441">
        <v>267.46976234949517</v>
      </c>
      <c r="D278" s="442">
        <v>215.25806794326729</v>
      </c>
      <c r="E278" s="443">
        <v>157.33736762481087</v>
      </c>
      <c r="F278" s="443">
        <v>139.00318133616122</v>
      </c>
    </row>
    <row r="279" spans="1:6">
      <c r="A279" s="440"/>
      <c r="B279" s="449">
        <v>41306</v>
      </c>
      <c r="C279" s="441">
        <v>267.92016241994503</v>
      </c>
      <c r="D279" s="442">
        <v>215.51156814614282</v>
      </c>
      <c r="E279" s="443">
        <v>158.03832576903682</v>
      </c>
      <c r="F279" s="443">
        <v>139.60763520678685</v>
      </c>
    </row>
    <row r="280" spans="1:6">
      <c r="A280" s="440"/>
      <c r="B280" s="449">
        <v>41334</v>
      </c>
      <c r="C280" s="446">
        <v>267.60000000000002</v>
      </c>
      <c r="D280" s="446">
        <v>216.3</v>
      </c>
      <c r="E280" s="537">
        <v>158.67372667675238</v>
      </c>
      <c r="F280" s="446">
        <v>140.19999999999999</v>
      </c>
    </row>
    <row r="281" spans="1:6">
      <c r="A281" s="457"/>
      <c r="B281" s="450">
        <v>41365</v>
      </c>
      <c r="C281" s="441">
        <v>269.41128801890267</v>
      </c>
      <c r="D281" s="442">
        <v>216.74467941463601</v>
      </c>
      <c r="E281" s="443">
        <v>158.36106908724153</v>
      </c>
      <c r="F281" s="443">
        <v>140.04241781548251</v>
      </c>
    </row>
    <row r="282" spans="1:6">
      <c r="A282" s="440"/>
      <c r="B282" s="449">
        <v>41395</v>
      </c>
      <c r="C282" s="441">
        <v>269.96579376962245</v>
      </c>
      <c r="D282" s="442">
        <v>216.73214813706912</v>
      </c>
      <c r="E282" s="443">
        <v>158.61825516893595</v>
      </c>
      <c r="F282" s="443">
        <v>140.33404029692471</v>
      </c>
    </row>
    <row r="283" spans="1:6">
      <c r="A283" s="440"/>
      <c r="B283" s="449">
        <v>41426</v>
      </c>
      <c r="C283" s="441">
        <v>270.04601381584826</v>
      </c>
      <c r="D283" s="442">
        <v>216.36843672231862</v>
      </c>
      <c r="E283" s="443">
        <v>158.34089762985374</v>
      </c>
      <c r="F283" s="443">
        <v>140.21739130434781</v>
      </c>
    </row>
    <row r="284" spans="1:6">
      <c r="A284" s="440"/>
      <c r="B284" s="449">
        <v>41456</v>
      </c>
      <c r="C284" s="441">
        <v>270.32534579859231</v>
      </c>
      <c r="D284" s="442">
        <v>217.09103212436884</v>
      </c>
      <c r="E284" s="443">
        <v>158.11901159858797</v>
      </c>
      <c r="F284" s="443">
        <v>140</v>
      </c>
    </row>
    <row r="285" spans="1:6">
      <c r="A285" s="440"/>
      <c r="B285" s="449">
        <v>41487</v>
      </c>
      <c r="C285" s="441">
        <v>270.41718621542691</v>
      </c>
      <c r="D285" s="442">
        <v>217.39680286527914</v>
      </c>
      <c r="E285" s="443">
        <v>158.26525466464949</v>
      </c>
      <c r="F285" s="443">
        <v>139.97879109225875</v>
      </c>
    </row>
    <row r="286" spans="1:6">
      <c r="A286" s="440"/>
      <c r="B286" s="449">
        <v>41518</v>
      </c>
      <c r="C286" s="441">
        <v>270.44454680886849</v>
      </c>
      <c r="D286" s="442">
        <v>217.69146444759414</v>
      </c>
      <c r="E286" s="443">
        <v>158.87544125063036</v>
      </c>
      <c r="F286" s="443">
        <v>140.55673382820783</v>
      </c>
    </row>
    <row r="287" spans="1:6">
      <c r="A287" s="440"/>
      <c r="B287" s="449">
        <v>41548</v>
      </c>
      <c r="C287" s="441">
        <v>271.19533646982967</v>
      </c>
      <c r="D287" s="442">
        <v>217.35188729993286</v>
      </c>
      <c r="E287" s="443">
        <v>158.54765506807865</v>
      </c>
      <c r="F287" s="443">
        <v>140.14316012725345</v>
      </c>
    </row>
    <row r="288" spans="1:6">
      <c r="A288" s="440"/>
      <c r="B288" s="449">
        <v>41579</v>
      </c>
      <c r="C288" s="441">
        <v>271.07681573419842</v>
      </c>
      <c r="D288" s="442">
        <v>216.41669067337662</v>
      </c>
      <c r="E288" s="443">
        <v>158.44679778113968</v>
      </c>
      <c r="F288" s="443">
        <v>139.95227995758219</v>
      </c>
    </row>
    <row r="289" spans="1:9">
      <c r="A289" s="444"/>
      <c r="B289" s="449">
        <v>41609</v>
      </c>
      <c r="C289" s="441">
        <v>271.14935230207544</v>
      </c>
      <c r="D289" s="442">
        <v>216.17165862374711</v>
      </c>
      <c r="E289" s="443">
        <v>158.8703983862834</v>
      </c>
      <c r="F289" s="443">
        <v>140.36585365853659</v>
      </c>
    </row>
    <row r="290" spans="1:9">
      <c r="A290" s="398">
        <v>2014</v>
      </c>
      <c r="B290" s="449">
        <v>41640</v>
      </c>
      <c r="C290" s="441">
        <v>271.53828221791969</v>
      </c>
      <c r="D290" s="442">
        <v>216.52553135317498</v>
      </c>
      <c r="E290" s="443">
        <v>157.02975289964698</v>
      </c>
      <c r="F290" s="443">
        <v>138.82290562036056</v>
      </c>
    </row>
    <row r="291" spans="1:9">
      <c r="A291" s="398"/>
      <c r="B291" s="449">
        <v>41671</v>
      </c>
      <c r="C291" s="442">
        <v>271.75401071888939</v>
      </c>
      <c r="D291" s="441">
        <v>216.47780223099554</v>
      </c>
      <c r="E291" s="443">
        <v>157.69036812909732</v>
      </c>
      <c r="F291" s="443">
        <v>139.42205726405089</v>
      </c>
    </row>
    <row r="292" spans="1:9">
      <c r="A292" s="398"/>
      <c r="B292" s="449">
        <v>41699</v>
      </c>
      <c r="C292" s="442">
        <v>271.90609783352863</v>
      </c>
      <c r="D292" s="441">
        <v>216.17870584716849</v>
      </c>
      <c r="E292" s="443">
        <v>157.68028240040343</v>
      </c>
      <c r="F292" s="443">
        <v>139.41675503711559</v>
      </c>
    </row>
    <row r="293" spans="1:9">
      <c r="A293" s="398"/>
      <c r="B293" s="450">
        <v>41730</v>
      </c>
      <c r="C293" s="441">
        <v>275.45208288524947</v>
      </c>
      <c r="D293" s="442">
        <v>218.88966479900517</v>
      </c>
      <c r="E293" s="443">
        <v>158.29046898638427</v>
      </c>
      <c r="F293" s="443">
        <v>140.15906680805938</v>
      </c>
    </row>
    <row r="294" spans="1:9">
      <c r="A294" s="398"/>
      <c r="B294" s="449">
        <v>41760</v>
      </c>
      <c r="C294" s="441">
        <v>275.59739044471871</v>
      </c>
      <c r="D294" s="442">
        <v>218.97124124853053</v>
      </c>
      <c r="E294" s="443">
        <v>158.37115481593545</v>
      </c>
      <c r="F294" s="443">
        <v>140.26511134676565</v>
      </c>
    </row>
    <row r="295" spans="1:9">
      <c r="A295" s="398"/>
      <c r="B295" s="449">
        <v>41791</v>
      </c>
      <c r="C295" s="441">
        <v>275.68014380422517</v>
      </c>
      <c r="D295" s="442">
        <v>219.3524990255425</v>
      </c>
      <c r="E295" s="443">
        <v>158.69894099848713</v>
      </c>
      <c r="F295" s="443">
        <v>140.63096500530224</v>
      </c>
    </row>
    <row r="296" spans="1:9">
      <c r="A296" s="398"/>
      <c r="B296" s="449">
        <v>41821</v>
      </c>
      <c r="C296" s="441">
        <v>275.94227373293273</v>
      </c>
      <c r="D296" s="442">
        <v>219.78973940352131</v>
      </c>
      <c r="E296" s="443">
        <v>158.17952597075137</v>
      </c>
      <c r="F296" s="443">
        <v>140.16967126193003</v>
      </c>
    </row>
    <row r="297" spans="1:9">
      <c r="A297" s="398"/>
      <c r="B297" s="449">
        <v>41852</v>
      </c>
      <c r="C297" s="441">
        <v>275.76108995117767</v>
      </c>
      <c r="D297" s="442">
        <v>220.45228429908599</v>
      </c>
      <c r="E297" s="443">
        <v>158.01815431164903</v>
      </c>
      <c r="F297" s="443">
        <v>139.90455991516438</v>
      </c>
    </row>
    <row r="298" spans="1:9">
      <c r="A298" s="398"/>
      <c r="B298" s="449">
        <v>41883</v>
      </c>
      <c r="C298" s="441">
        <v>275.77413308428464</v>
      </c>
      <c r="D298" s="442">
        <v>220.08536913020995</v>
      </c>
      <c r="E298" s="443">
        <v>158.27029752899645</v>
      </c>
      <c r="F298" s="443">
        <v>140.11134676564157</v>
      </c>
    </row>
    <row r="299" spans="1:9">
      <c r="A299" s="398"/>
      <c r="B299" s="449">
        <v>41913</v>
      </c>
      <c r="C299" s="441">
        <v>275.62244515586656</v>
      </c>
      <c r="D299" s="442">
        <v>219.66515728064675</v>
      </c>
      <c r="E299" s="443">
        <v>158.3560262228946</v>
      </c>
      <c r="F299" s="443">
        <v>140.15376458112408</v>
      </c>
    </row>
    <row r="300" spans="1:9">
      <c r="A300" s="398"/>
      <c r="B300" s="449">
        <v>41944</v>
      </c>
      <c r="C300" s="441">
        <v>275.33103955526042</v>
      </c>
      <c r="D300" s="442">
        <v>218.43683234522007</v>
      </c>
      <c r="E300" s="443">
        <v>158.12405446293494</v>
      </c>
      <c r="F300" s="443">
        <v>139.78260869565219</v>
      </c>
    </row>
    <row r="301" spans="1:9">
      <c r="A301" s="398"/>
      <c r="B301" s="449">
        <v>41974</v>
      </c>
      <c r="C301" s="441">
        <v>274.75895907713084</v>
      </c>
      <c r="D301" s="442">
        <v>214.22476300553981</v>
      </c>
      <c r="E301" s="443">
        <v>158.37115481593545</v>
      </c>
      <c r="F301" s="443">
        <v>140.05302226935314</v>
      </c>
    </row>
    <row r="302" spans="1:9">
      <c r="A302" s="398">
        <v>2015</v>
      </c>
      <c r="B302" s="449">
        <v>42005</v>
      </c>
      <c r="C302" s="441">
        <v>275.69997025062219</v>
      </c>
      <c r="D302" s="442">
        <v>210.8667329700794</v>
      </c>
      <c r="E302" s="443">
        <v>156.70700958144226</v>
      </c>
      <c r="F302" s="443">
        <v>137.69353128313892</v>
      </c>
      <c r="G302" s="447"/>
      <c r="I302" s="448"/>
    </row>
    <row r="303" spans="1:9">
      <c r="A303" s="447"/>
      <c r="B303" s="449">
        <v>42036</v>
      </c>
      <c r="C303" s="441">
        <v>276.79049086427796</v>
      </c>
      <c r="D303" s="442">
        <v>206.98526050701741</v>
      </c>
      <c r="E303" s="443">
        <v>157.80635400907715</v>
      </c>
      <c r="F303" s="443">
        <v>138.67444326617181</v>
      </c>
      <c r="G303" s="447"/>
      <c r="I303" s="448"/>
    </row>
    <row r="304" spans="1:9">
      <c r="A304" s="447"/>
      <c r="B304" s="449">
        <v>42064</v>
      </c>
      <c r="C304" s="441">
        <v>276.75574793368219</v>
      </c>
      <c r="D304" s="442">
        <v>207.48381361417952</v>
      </c>
      <c r="E304" s="443">
        <v>157.93746848209781</v>
      </c>
      <c r="F304" s="443">
        <v>138.78579003181338</v>
      </c>
      <c r="G304" s="447"/>
      <c r="I304" s="448"/>
    </row>
    <row r="305" spans="1:9">
      <c r="A305" s="447"/>
      <c r="B305" s="450">
        <v>42095</v>
      </c>
      <c r="C305" s="441">
        <v>278.34578300777082</v>
      </c>
      <c r="D305" s="442">
        <v>211.94349633284691</v>
      </c>
      <c r="E305" s="443">
        <v>157.92233988905699</v>
      </c>
      <c r="F305" s="443">
        <v>138.85471898197244</v>
      </c>
      <c r="G305" s="447"/>
      <c r="I305" s="448"/>
    </row>
    <row r="306" spans="1:9">
      <c r="A306" s="447"/>
      <c r="B306" s="449">
        <v>42125</v>
      </c>
      <c r="C306" s="441">
        <v>279.13788621010758</v>
      </c>
      <c r="D306" s="442">
        <v>212.62377114305505</v>
      </c>
      <c r="E306" s="443">
        <v>158.46696923852747</v>
      </c>
      <c r="F306" s="443">
        <v>139.51749734888654</v>
      </c>
      <c r="G306" s="447"/>
      <c r="I306" s="448"/>
    </row>
    <row r="307" spans="1:9">
      <c r="A307" s="447"/>
      <c r="B307" s="449">
        <v>42156</v>
      </c>
      <c r="C307" s="441">
        <v>278.94295725995102</v>
      </c>
      <c r="D307" s="442">
        <v>214.82175746861424</v>
      </c>
      <c r="E307" s="443">
        <v>158.0080685829551</v>
      </c>
      <c r="F307" s="443">
        <v>139.13573700954402</v>
      </c>
      <c r="G307" s="447"/>
      <c r="I307" s="448"/>
    </row>
    <row r="308" spans="1:9">
      <c r="A308" s="447"/>
      <c r="B308" s="449">
        <v>42186</v>
      </c>
      <c r="C308" s="441">
        <v>280.05761795051552</v>
      </c>
      <c r="D308" s="442">
        <v>213.94862391676438</v>
      </c>
      <c r="E308" s="443">
        <v>158.05849722642461</v>
      </c>
      <c r="F308" s="443">
        <v>139.24178154825029</v>
      </c>
      <c r="G308" s="447"/>
      <c r="I308" s="448"/>
    </row>
    <row r="309" spans="1:9">
      <c r="A309" s="447"/>
      <c r="B309" s="449">
        <v>42217</v>
      </c>
      <c r="C309" s="441">
        <v>279.68945274670727</v>
      </c>
      <c r="D309" s="442">
        <v>212.47817700800979</v>
      </c>
      <c r="E309" s="443">
        <v>157.74583963691376</v>
      </c>
      <c r="F309" s="443">
        <v>137.87910922587488</v>
      </c>
      <c r="G309" s="447"/>
      <c r="I309" s="448"/>
    </row>
    <row r="310" spans="1:9">
      <c r="A310" s="447"/>
      <c r="B310" s="449">
        <v>42248</v>
      </c>
      <c r="C310" s="441">
        <v>279.69412837982566</v>
      </c>
      <c r="D310" s="442">
        <v>209.92428504506992</v>
      </c>
      <c r="E310" s="443">
        <v>158.37619768028239</v>
      </c>
      <c r="F310" s="443">
        <v>138.51007423117713</v>
      </c>
      <c r="G310" s="447"/>
      <c r="I310" s="448"/>
    </row>
    <row r="311" spans="1:9">
      <c r="A311" s="447"/>
      <c r="B311" s="449">
        <v>42278</v>
      </c>
      <c r="C311" s="441">
        <v>280.22678690112343</v>
      </c>
      <c r="D311" s="442">
        <v>206.89734366692937</v>
      </c>
      <c r="E311" s="443">
        <v>158.49218356026222</v>
      </c>
      <c r="F311" s="443">
        <v>138.49946977730647</v>
      </c>
      <c r="G311" s="447"/>
      <c r="I311" s="448"/>
    </row>
    <row r="312" spans="1:9">
      <c r="A312" s="447"/>
      <c r="B312" s="449">
        <v>42309</v>
      </c>
      <c r="C312" s="441">
        <v>280.27113217097809</v>
      </c>
      <c r="D312" s="442">
        <v>206.61589906787583</v>
      </c>
      <c r="E312" s="443">
        <v>158.21986888552698</v>
      </c>
      <c r="F312" s="443">
        <v>138.10710498409333</v>
      </c>
      <c r="G312" s="447"/>
      <c r="I312" s="448"/>
    </row>
    <row r="313" spans="1:9">
      <c r="A313" s="447"/>
      <c r="B313" s="449">
        <v>42339</v>
      </c>
      <c r="C313" s="441">
        <v>278.78657589543133</v>
      </c>
      <c r="D313" s="442">
        <v>205.90554216090638</v>
      </c>
      <c r="E313" s="443">
        <v>158.45184064548661</v>
      </c>
      <c r="F313" s="443">
        <v>138.24496288441145</v>
      </c>
      <c r="G313" s="447"/>
      <c r="I313" s="448"/>
    </row>
    <row r="314" spans="1:9">
      <c r="A314" s="369">
        <v>2016</v>
      </c>
      <c r="B314" s="449">
        <v>42370</v>
      </c>
      <c r="C314" s="441">
        <v>282.06624845963194</v>
      </c>
      <c r="D314" s="442">
        <v>204.28963158319846</v>
      </c>
      <c r="E314" s="443">
        <v>157.90721129601613</v>
      </c>
      <c r="F314" s="443">
        <v>137.4390243902439</v>
      </c>
    </row>
    <row r="315" spans="1:9">
      <c r="B315" s="449">
        <v>42401</v>
      </c>
      <c r="C315" s="441">
        <v>282.50230347789051</v>
      </c>
      <c r="D315" s="442">
        <v>201.65261686334131</v>
      </c>
      <c r="E315" s="443">
        <v>158.416540595058</v>
      </c>
      <c r="F315" s="443">
        <v>137.89501590668081</v>
      </c>
    </row>
    <row r="316" spans="1:9">
      <c r="B316" s="449">
        <v>42430</v>
      </c>
      <c r="C316" s="441">
        <v>282.73592036390056</v>
      </c>
      <c r="D316" s="442">
        <v>202.25613915118015</v>
      </c>
      <c r="E316" s="443">
        <v>159.20322743318204</v>
      </c>
      <c r="F316" s="443">
        <v>138.68504772004243</v>
      </c>
    </row>
    <row r="317" spans="1:9">
      <c r="B317" s="450">
        <v>42461</v>
      </c>
      <c r="C317" s="441">
        <v>284.92663446364202</v>
      </c>
      <c r="D317" s="442">
        <v>204.60442110093655</v>
      </c>
      <c r="E317" s="443">
        <v>159.17297024710032</v>
      </c>
      <c r="F317" s="443">
        <v>138.82820784729586</v>
      </c>
    </row>
    <row r="318" spans="1:9">
      <c r="B318" s="449">
        <v>42491</v>
      </c>
      <c r="C318" s="441">
        <v>285.90688018163615</v>
      </c>
      <c r="D318" s="442">
        <v>206.59170676539503</v>
      </c>
      <c r="E318" s="443">
        <v>159.46041351487642</v>
      </c>
      <c r="F318" s="443">
        <v>139.14103923647934</v>
      </c>
    </row>
    <row r="319" spans="1:9">
      <c r="B319" s="449">
        <v>42522</v>
      </c>
      <c r="C319" s="441">
        <v>286.45708529863646</v>
      </c>
      <c r="D319" s="442">
        <v>209.30618528502825</v>
      </c>
      <c r="E319" s="443">
        <v>159.62682803832578</v>
      </c>
      <c r="F319" s="443">
        <v>139.20996818663841</v>
      </c>
    </row>
    <row r="320" spans="1:9">
      <c r="B320" s="449">
        <v>42552</v>
      </c>
      <c r="C320" s="441">
        <v>287.34246725396753</v>
      </c>
      <c r="D320" s="442">
        <v>211.30270249249349</v>
      </c>
      <c r="E320" s="443">
        <v>159.7226424609178</v>
      </c>
      <c r="F320" s="443">
        <v>139.36903499469778</v>
      </c>
    </row>
    <row r="321" spans="1:6">
      <c r="B321" s="449">
        <v>42583</v>
      </c>
      <c r="C321" s="441">
        <v>287.39319982924081</v>
      </c>
      <c r="D321" s="442">
        <v>212.05296687127287</v>
      </c>
      <c r="E321" s="443">
        <v>159.54614220877457</v>
      </c>
      <c r="F321" s="443">
        <v>139.16755037115593</v>
      </c>
    </row>
    <row r="322" spans="1:6">
      <c r="B322" s="449">
        <v>42614</v>
      </c>
      <c r="C322" s="441">
        <v>287.46742611916233</v>
      </c>
      <c r="D322" s="442">
        <v>211.59978649329648</v>
      </c>
      <c r="E322" s="443">
        <v>159.81341401916291</v>
      </c>
      <c r="F322" s="443">
        <v>139.39024390243901</v>
      </c>
    </row>
    <row r="323" spans="1:6">
      <c r="B323" s="449">
        <v>42644</v>
      </c>
      <c r="C323" s="441">
        <v>289.41679125253427</v>
      </c>
      <c r="D323" s="442">
        <v>213.28896151993723</v>
      </c>
      <c r="E323" s="443">
        <v>160.36308623298032</v>
      </c>
      <c r="F323" s="443">
        <v>139.79321314952278</v>
      </c>
    </row>
    <row r="324" spans="1:6">
      <c r="B324" s="449">
        <v>42675</v>
      </c>
      <c r="C324" s="441">
        <v>289.42651624431147</v>
      </c>
      <c r="D324" s="442">
        <v>214.49720659871244</v>
      </c>
      <c r="E324" s="443">
        <v>160.41351487644982</v>
      </c>
      <c r="F324" s="443">
        <v>139.73488865323438</v>
      </c>
    </row>
    <row r="325" spans="1:6">
      <c r="B325" s="541">
        <v>42705</v>
      </c>
      <c r="C325" s="542">
        <v>289.96244502490407</v>
      </c>
      <c r="D325" s="543">
        <v>215.72985903885342</v>
      </c>
      <c r="E325" s="544">
        <v>161.21028744326779</v>
      </c>
      <c r="F325" s="544">
        <v>140.40296924708377</v>
      </c>
    </row>
    <row r="326" spans="1:6">
      <c r="A326" s="545">
        <v>2017</v>
      </c>
      <c r="B326" s="546">
        <v>42736</v>
      </c>
      <c r="C326" s="547">
        <v>291.10792227626075</v>
      </c>
      <c r="D326" s="548">
        <v>217.89749450770441</v>
      </c>
      <c r="E326" s="549">
        <v>160.11094301563287</v>
      </c>
      <c r="F326" s="549">
        <v>138.53128313891833</v>
      </c>
    </row>
    <row r="327" spans="1:6" ht="15.75">
      <c r="A327"/>
      <c r="B327" s="550">
        <v>42767</v>
      </c>
      <c r="C327" s="551">
        <v>291.59645558547322</v>
      </c>
      <c r="D327" s="552">
        <v>220.56652374944187</v>
      </c>
      <c r="E327" s="553">
        <v>161.23550176500251</v>
      </c>
      <c r="F327" s="553">
        <v>139.61293743372215</v>
      </c>
    </row>
    <row r="328" spans="1:6" ht="15.75">
      <c r="A328"/>
      <c r="B328" s="550">
        <v>42795</v>
      </c>
      <c r="C328" s="551">
        <v>291.32987726502802</v>
      </c>
      <c r="D328" s="552">
        <v>219.2882920680396</v>
      </c>
      <c r="E328" s="553">
        <v>161.21028744326779</v>
      </c>
      <c r="F328" s="553">
        <v>139.61293743372215</v>
      </c>
    </row>
    <row r="329" spans="1:6" ht="15.75">
      <c r="A329"/>
      <c r="B329" s="550">
        <v>42826</v>
      </c>
      <c r="C329" s="551">
        <v>295.1108649376215</v>
      </c>
      <c r="D329" s="552">
        <v>221.31625749458351</v>
      </c>
      <c r="E329" s="553">
        <v>162.14826021180031</v>
      </c>
      <c r="F329" s="553">
        <v>140.73170731707319</v>
      </c>
    </row>
    <row r="330" spans="1:6" ht="15.75">
      <c r="A330"/>
      <c r="B330" s="550">
        <v>42856</v>
      </c>
      <c r="C330" s="551">
        <v>296.30592634493348</v>
      </c>
      <c r="D330" s="552">
        <v>221.31323900622266</v>
      </c>
      <c r="E330" s="553">
        <v>162.24911749873928</v>
      </c>
      <c r="F330" s="553">
        <v>141.00212089077414</v>
      </c>
    </row>
    <row r="331" spans="1:6" ht="15.75">
      <c r="A331"/>
      <c r="B331" s="550">
        <v>42887</v>
      </c>
      <c r="C331" s="551">
        <v>296.4953036998611</v>
      </c>
      <c r="D331" s="552">
        <v>220.83731267495429</v>
      </c>
      <c r="E331" s="553">
        <v>162.36510337871911</v>
      </c>
      <c r="F331" s="553">
        <v>141.20360551431602</v>
      </c>
    </row>
    <row r="332" spans="1:6" ht="15.75">
      <c r="A332"/>
      <c r="B332" s="550">
        <v>42917</v>
      </c>
      <c r="C332" s="551">
        <v>297.30606581615649</v>
      </c>
      <c r="D332" s="552">
        <v>220.97016204636492</v>
      </c>
      <c r="E332" s="553">
        <v>163.23247604639434</v>
      </c>
      <c r="F332" s="553">
        <v>142.0254506892895</v>
      </c>
    </row>
    <row r="333" spans="1:6" ht="15.75">
      <c r="A333"/>
      <c r="B333" s="550">
        <v>42948</v>
      </c>
      <c r="C333" s="551">
        <v>297.53029239216977</v>
      </c>
      <c r="D333" s="552">
        <v>220.4918431800692</v>
      </c>
      <c r="E333" s="553">
        <v>162.97528996469995</v>
      </c>
      <c r="F333" s="553">
        <v>141.54825026511134</v>
      </c>
    </row>
    <row r="334" spans="1:6" ht="15.75">
      <c r="A334"/>
      <c r="B334" s="550">
        <v>42979</v>
      </c>
      <c r="C334" s="551">
        <v>297.98071275140126</v>
      </c>
      <c r="D334" s="552">
        <v>221.4021748791188</v>
      </c>
      <c r="E334" s="553">
        <v>163.19717599596569</v>
      </c>
      <c r="F334" s="553">
        <v>141.70731707317071</v>
      </c>
    </row>
    <row r="335" spans="1:6" ht="15.75">
      <c r="A335"/>
      <c r="B335" s="550">
        <v>43009</v>
      </c>
      <c r="C335" s="551">
        <v>299.28742738965116</v>
      </c>
      <c r="D335" s="552">
        <v>221.92083042636699</v>
      </c>
      <c r="E335" s="553">
        <v>163.07614725163893</v>
      </c>
      <c r="F335" s="553">
        <v>141.51643690349945</v>
      </c>
    </row>
    <row r="336" spans="1:6" ht="15.75">
      <c r="A336"/>
      <c r="B336" s="550">
        <v>43040</v>
      </c>
      <c r="C336" s="554">
        <v>299.71447220966223</v>
      </c>
      <c r="D336" s="555">
        <v>223.54923467546865</v>
      </c>
      <c r="E336" s="556">
        <v>163.40897629853757</v>
      </c>
      <c r="F336" s="556">
        <v>141.68080593849416</v>
      </c>
    </row>
    <row r="337" spans="1:7" ht="15.75">
      <c r="A337"/>
      <c r="B337" s="557">
        <v>43070</v>
      </c>
      <c r="C337" s="558">
        <v>299.9583982952214</v>
      </c>
      <c r="D337" s="559">
        <v>225.61114263274573</v>
      </c>
      <c r="E337" s="560">
        <v>164.00907715582451</v>
      </c>
      <c r="F337" s="560">
        <v>142.17391304347825</v>
      </c>
    </row>
    <row r="338" spans="1:7" ht="15.75">
      <c r="A338" s="545">
        <v>2018</v>
      </c>
      <c r="B338" s="546">
        <v>43101</v>
      </c>
      <c r="C338" s="561">
        <v>299.64205450479398</v>
      </c>
      <c r="D338" s="562">
        <v>227.06240095188011</v>
      </c>
      <c r="E338" s="563">
        <v>162.63741805345435</v>
      </c>
      <c r="F338" s="563">
        <v>140.76352067868507</v>
      </c>
    </row>
    <row r="339" spans="1:7" ht="15.75">
      <c r="A339"/>
      <c r="B339" s="550">
        <v>43132</v>
      </c>
      <c r="C339" s="554">
        <v>300.49034766538961</v>
      </c>
      <c r="D339" s="555">
        <v>228.50157648236586</v>
      </c>
      <c r="E339" s="556">
        <v>163.82753403933435</v>
      </c>
      <c r="F339" s="556">
        <v>141.81866383881231</v>
      </c>
    </row>
    <row r="340" spans="1:7" ht="15.75">
      <c r="A340"/>
      <c r="B340" s="550">
        <v>43160</v>
      </c>
      <c r="C340" s="554">
        <v>300.40064701272144</v>
      </c>
      <c r="D340" s="555">
        <v>227.60256382432081</v>
      </c>
      <c r="E340" s="556">
        <v>164.27634896621279</v>
      </c>
      <c r="F340" s="556">
        <v>142.22693531283139</v>
      </c>
    </row>
    <row r="341" spans="1:7" ht="15.75">
      <c r="A341"/>
      <c r="B341" s="550">
        <v>43191</v>
      </c>
      <c r="C341" s="554">
        <v>301.94197546257584</v>
      </c>
      <c r="D341" s="555">
        <v>229.90985569374865</v>
      </c>
      <c r="E341" s="556">
        <v>164.95209278870399</v>
      </c>
      <c r="F341" s="556">
        <v>142.93743372216329</v>
      </c>
    </row>
    <row r="342" spans="1:7" ht="15.75">
      <c r="A342"/>
      <c r="B342" s="550">
        <v>43221</v>
      </c>
      <c r="C342" s="554">
        <v>303.67368183858662</v>
      </c>
      <c r="D342" s="555">
        <v>232.4324587928364</v>
      </c>
      <c r="E342" s="556">
        <v>165.3</v>
      </c>
      <c r="F342" s="556">
        <v>143.44114528101801</v>
      </c>
    </row>
    <row r="343" spans="1:7" ht="15.75">
      <c r="A343"/>
      <c r="B343" s="550">
        <v>43252</v>
      </c>
      <c r="C343" s="554">
        <v>303.89726342106354</v>
      </c>
      <c r="D343" s="555">
        <v>235.05794466117351</v>
      </c>
      <c r="E343" s="556">
        <v>165.71860816944024</v>
      </c>
      <c r="F343" s="556">
        <v>143.91304347826087</v>
      </c>
    </row>
    <row r="344" spans="1:7" ht="15.75">
      <c r="A344"/>
      <c r="B344" s="550">
        <v>43282</v>
      </c>
      <c r="C344" s="554">
        <v>305.6860683665542</v>
      </c>
      <c r="D344" s="555">
        <v>237.93777067030271</v>
      </c>
      <c r="E344" s="556">
        <v>166.58093797276851</v>
      </c>
      <c r="F344" s="556">
        <v>144.78260869565219</v>
      </c>
    </row>
    <row r="345" spans="1:7" ht="15.75">
      <c r="A345"/>
      <c r="B345" s="550">
        <v>43313</v>
      </c>
      <c r="C345" s="554">
        <v>306.164282917305</v>
      </c>
      <c r="D345" s="555">
        <v>239.02663618148529</v>
      </c>
      <c r="E345" s="556">
        <v>166.22793746848208</v>
      </c>
      <c r="F345" s="556">
        <v>144.20996818663841</v>
      </c>
    </row>
    <row r="346" spans="1:7" ht="15.75">
      <c r="A346"/>
      <c r="B346" s="550">
        <v>43344</v>
      </c>
      <c r="C346" s="554">
        <v>306.56060734896118</v>
      </c>
      <c r="D346" s="555">
        <v>239.57115606312675</v>
      </c>
      <c r="E346" s="556">
        <v>166.9894099848714</v>
      </c>
      <c r="F346" s="556">
        <v>144.80911983032877</v>
      </c>
    </row>
    <row r="347" spans="1:7" ht="15.75">
      <c r="A347"/>
      <c r="B347" s="550">
        <v>43374</v>
      </c>
      <c r="C347" s="554">
        <v>306.8307921408869</v>
      </c>
      <c r="D347" s="555">
        <v>240.32143215796074</v>
      </c>
      <c r="E347" s="556">
        <v>166.77760968229956</v>
      </c>
      <c r="F347" s="556">
        <v>144.53870625662779</v>
      </c>
    </row>
    <row r="348" spans="1:7" ht="15.75">
      <c r="A348"/>
      <c r="B348" s="550">
        <v>43405</v>
      </c>
      <c r="C348" s="554">
        <v>307.04735763300448</v>
      </c>
      <c r="D348" s="555">
        <v>242.37636431875623</v>
      </c>
      <c r="E348" s="556">
        <v>166.61623802319716</v>
      </c>
      <c r="F348" s="556">
        <v>144.16755037115587</v>
      </c>
    </row>
    <row r="349" spans="1:7" ht="15.75">
      <c r="A349"/>
      <c r="B349" s="557">
        <v>43435</v>
      </c>
      <c r="C349" s="554">
        <v>306.35389002880271</v>
      </c>
      <c r="D349" s="554">
        <v>241.14520763418426</v>
      </c>
      <c r="E349" s="560">
        <v>167.35753908219868</v>
      </c>
      <c r="F349" s="560">
        <v>144.8674443266172</v>
      </c>
    </row>
    <row r="350" spans="1:7" ht="15.75">
      <c r="A350" s="545">
        <v>2019</v>
      </c>
      <c r="B350" s="546">
        <v>43466</v>
      </c>
      <c r="C350" s="561">
        <v>306.19823797358151</v>
      </c>
      <c r="D350" s="561">
        <v>236.29682949771512</v>
      </c>
      <c r="E350" s="563">
        <v>165.68835098335853</v>
      </c>
      <c r="F350" s="563">
        <v>160.87647360328037</v>
      </c>
      <c r="G350" s="545" t="s">
        <v>828</v>
      </c>
    </row>
    <row r="351" spans="1:7" ht="15.75">
      <c r="A351"/>
      <c r="B351" s="550">
        <v>43497</v>
      </c>
      <c r="C351" s="554">
        <v>307.57798089208137</v>
      </c>
      <c r="D351" s="554">
        <v>234.60016918670655</v>
      </c>
      <c r="E351" s="556">
        <v>166.928895612708</v>
      </c>
      <c r="F351" s="556">
        <v>162.09636084059457</v>
      </c>
    </row>
    <row r="352" spans="1:7" ht="15.75">
      <c r="A352"/>
      <c r="B352" s="550">
        <v>43525</v>
      </c>
      <c r="C352" s="554">
        <v>308.21302456161459</v>
      </c>
      <c r="D352" s="554">
        <v>238.35702463769132</v>
      </c>
      <c r="E352" s="556">
        <v>167.31719616742308</v>
      </c>
      <c r="F352" s="556">
        <v>162.47052793439263</v>
      </c>
    </row>
    <row r="353" spans="1:6" ht="15.75">
      <c r="A353"/>
      <c r="B353" s="550">
        <v>43556</v>
      </c>
      <c r="C353" s="554">
        <v>310.08789622790385</v>
      </c>
      <c r="D353" s="554">
        <v>242.92263572017274</v>
      </c>
      <c r="E353" s="556">
        <v>168.48714069591529</v>
      </c>
      <c r="F353" s="556">
        <v>163.64941055868783</v>
      </c>
    </row>
    <row r="354" spans="1:6" ht="15.75">
      <c r="A354"/>
      <c r="B354" s="550">
        <v>43586</v>
      </c>
      <c r="C354" s="554">
        <v>312.08837141196148</v>
      </c>
      <c r="D354" s="554">
        <v>244.50911705185041</v>
      </c>
      <c r="E354" s="556">
        <v>168.91074130105898</v>
      </c>
      <c r="F354" s="556">
        <v>164.06458226550487</v>
      </c>
    </row>
    <row r="355" spans="1:6" ht="15.75">
      <c r="A355"/>
      <c r="B355" s="550">
        <v>43617</v>
      </c>
      <c r="C355" s="554">
        <v>311.66364639829828</v>
      </c>
      <c r="D355" s="554">
        <v>244.89934492104123</v>
      </c>
      <c r="E355" s="556">
        <v>168.66868381240545</v>
      </c>
      <c r="F355" s="556">
        <v>163.79805228088159</v>
      </c>
    </row>
    <row r="356" spans="1:6" ht="15.75">
      <c r="A356"/>
      <c r="B356" s="550">
        <v>43647</v>
      </c>
      <c r="C356" s="554">
        <v>311.70230168950286</v>
      </c>
      <c r="D356" s="554">
        <v>242.73709951400207</v>
      </c>
      <c r="E356" s="556">
        <v>169.33938477054966</v>
      </c>
      <c r="F356" s="556">
        <v>164.87442337262942</v>
      </c>
    </row>
    <row r="357" spans="1:6" ht="15.75">
      <c r="A357"/>
      <c r="B357" s="550">
        <v>43678</v>
      </c>
      <c r="C357" s="554">
        <v>311.89485797475464</v>
      </c>
      <c r="D357" s="554">
        <v>242.66579958805062</v>
      </c>
      <c r="E357" s="556">
        <v>168.62834089762984</v>
      </c>
      <c r="F357" s="556">
        <v>164.06458226550487</v>
      </c>
    </row>
    <row r="358" spans="1:6" ht="15.75">
      <c r="A358"/>
      <c r="B358" s="550">
        <v>43709</v>
      </c>
      <c r="C358" s="554">
        <v>312.21574620566088</v>
      </c>
      <c r="D358" s="554">
        <v>240.62678802893038</v>
      </c>
      <c r="E358" s="556">
        <v>169.41502773575391</v>
      </c>
      <c r="F358" s="556">
        <v>164.79241414659148</v>
      </c>
    </row>
    <row r="359" spans="1:6" ht="15.75">
      <c r="A359"/>
      <c r="B359" s="550">
        <v>43739</v>
      </c>
      <c r="C359" s="554">
        <v>311.94895851233451</v>
      </c>
      <c r="D359" s="555">
        <v>237.36123536456282</v>
      </c>
      <c r="E359" s="555">
        <v>169.46041351487645</v>
      </c>
      <c r="F359" s="556">
        <v>164.8077908764736</v>
      </c>
    </row>
    <row r="360" spans="1:6" ht="15.75">
      <c r="A360"/>
      <c r="B360" s="550">
        <v>43770</v>
      </c>
      <c r="C360" s="554">
        <v>312.28477673407821</v>
      </c>
      <c r="D360" s="555">
        <v>239.77675910725418</v>
      </c>
      <c r="E360" s="556">
        <v>169.62178517397882</v>
      </c>
      <c r="F360" s="556">
        <v>164.95643259866733</v>
      </c>
    </row>
    <row r="361" spans="1:6" ht="15.75">
      <c r="A361"/>
      <c r="B361" s="550">
        <v>43800</v>
      </c>
      <c r="C361" s="558">
        <v>312.04623891149998</v>
      </c>
      <c r="D361" s="559">
        <v>233.03662974533509</v>
      </c>
      <c r="E361" s="559">
        <v>170.2874432677761</v>
      </c>
      <c r="F361" s="560">
        <v>165.61763198359816</v>
      </c>
    </row>
    <row r="362" spans="1:6" ht="15.75">
      <c r="A362" s="545">
        <v>2020</v>
      </c>
      <c r="B362" s="546">
        <v>43831</v>
      </c>
      <c r="C362" s="561">
        <v>313.52097070056203</v>
      </c>
      <c r="D362" s="562">
        <v>232.58157312072311</v>
      </c>
      <c r="E362" s="562">
        <v>167.83661119515884</v>
      </c>
      <c r="F362" s="563">
        <v>163.02921578677601</v>
      </c>
    </row>
    <row r="363" spans="1:6" ht="15.75">
      <c r="A363"/>
      <c r="B363" s="550">
        <v>43862</v>
      </c>
      <c r="C363" s="551"/>
      <c r="D363" s="552"/>
      <c r="E363" s="553"/>
      <c r="F363" s="553"/>
    </row>
    <row r="364" spans="1:6" ht="15.75">
      <c r="A364"/>
      <c r="B364" s="550">
        <v>43891</v>
      </c>
      <c r="C364" s="551"/>
      <c r="D364" s="552"/>
      <c r="E364" s="553"/>
      <c r="F364" s="553"/>
    </row>
    <row r="365" spans="1:6" ht="15.75">
      <c r="A365"/>
      <c r="B365" s="550">
        <v>43922</v>
      </c>
      <c r="C365" s="551"/>
      <c r="D365" s="552"/>
      <c r="E365" s="553"/>
      <c r="F365" s="553"/>
    </row>
    <row r="366" spans="1:6" ht="15.75">
      <c r="A366"/>
      <c r="B366" s="550">
        <v>43952</v>
      </c>
      <c r="C366" s="551"/>
      <c r="D366" s="552"/>
      <c r="E366" s="553"/>
      <c r="F366" s="553"/>
    </row>
    <row r="367" spans="1:6" ht="15.75">
      <c r="A367"/>
      <c r="B367" s="550">
        <v>43983</v>
      </c>
      <c r="C367" s="551"/>
      <c r="D367" s="552"/>
      <c r="E367" s="553"/>
      <c r="F367" s="553"/>
    </row>
    <row r="368" spans="1:6" ht="15.75">
      <c r="A368"/>
      <c r="B368" s="550">
        <v>44013</v>
      </c>
      <c r="C368" s="551"/>
      <c r="D368" s="552"/>
      <c r="E368" s="553"/>
      <c r="F368" s="553"/>
    </row>
    <row r="369" spans="1:6" ht="15.75">
      <c r="A369"/>
      <c r="B369" s="550">
        <v>44044</v>
      </c>
      <c r="C369" s="551"/>
      <c r="D369" s="552"/>
      <c r="E369" s="553"/>
      <c r="F369" s="553"/>
    </row>
    <row r="370" spans="1:6" ht="15.75">
      <c r="A370"/>
      <c r="B370" s="550">
        <v>44075</v>
      </c>
      <c r="C370" s="551"/>
      <c r="D370" s="552"/>
      <c r="E370" s="553"/>
      <c r="F370" s="553"/>
    </row>
    <row r="371" spans="1:6" ht="15.75">
      <c r="A371"/>
      <c r="B371" s="550">
        <v>44105</v>
      </c>
      <c r="C371" s="551"/>
      <c r="D371" s="552"/>
      <c r="E371" s="553"/>
      <c r="F371" s="553"/>
    </row>
    <row r="372" spans="1:6" ht="15.75">
      <c r="A372"/>
      <c r="B372" s="550">
        <v>44136</v>
      </c>
      <c r="C372" s="551"/>
      <c r="D372" s="552"/>
      <c r="E372" s="553"/>
      <c r="F372" s="553"/>
    </row>
    <row r="373" spans="1:6" ht="15.75">
      <c r="A373"/>
      <c r="B373" s="557">
        <v>44166</v>
      </c>
      <c r="C373" s="564"/>
      <c r="D373" s="564"/>
      <c r="E373" s="564"/>
      <c r="F373" s="564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/>
  <dimension ref="A1:G31"/>
  <sheetViews>
    <sheetView workbookViewId="0">
      <selection sqref="A1:B1"/>
    </sheetView>
  </sheetViews>
  <sheetFormatPr defaultColWidth="11" defaultRowHeight="15.75"/>
  <cols>
    <col min="1" max="1" width="33.625" customWidth="1"/>
    <col min="2" max="2" width="98.125" bestFit="1" customWidth="1"/>
    <col min="6" max="6" width="13.375" bestFit="1" customWidth="1"/>
  </cols>
  <sheetData>
    <row r="1" spans="1:7" ht="33.950000000000003" customHeight="1">
      <c r="A1" s="596" t="s">
        <v>139</v>
      </c>
      <c r="B1" s="597"/>
    </row>
    <row r="2" spans="1:7">
      <c r="A2" t="s">
        <v>140</v>
      </c>
      <c r="B2" t="s">
        <v>39</v>
      </c>
    </row>
    <row r="3" spans="1:7">
      <c r="A3" t="s">
        <v>141</v>
      </c>
      <c r="B3" t="s">
        <v>42</v>
      </c>
    </row>
    <row r="4" spans="1:7">
      <c r="A4" t="s">
        <v>142</v>
      </c>
      <c r="B4" t="s">
        <v>143</v>
      </c>
    </row>
    <row r="5" spans="1:7">
      <c r="A5" t="s">
        <v>144</v>
      </c>
      <c r="B5" t="s">
        <v>145</v>
      </c>
    </row>
    <row r="6" spans="1:7">
      <c r="A6" t="s">
        <v>40</v>
      </c>
      <c r="B6" t="s">
        <v>41</v>
      </c>
    </row>
    <row r="7" spans="1:7" ht="45" customHeight="1">
      <c r="A7" s="596" t="s">
        <v>10</v>
      </c>
      <c r="B7" s="597"/>
    </row>
    <row r="8" spans="1:7" ht="14.1" customHeight="1">
      <c r="A8" s="19" t="s">
        <v>69</v>
      </c>
      <c r="B8" t="s">
        <v>70</v>
      </c>
    </row>
    <row r="9" spans="1:7">
      <c r="A9" s="19" t="s">
        <v>25</v>
      </c>
      <c r="B9" t="s">
        <v>26</v>
      </c>
    </row>
    <row r="10" spans="1:7">
      <c r="A10" s="19" t="s">
        <v>24</v>
      </c>
      <c r="B10" t="s">
        <v>68</v>
      </c>
    </row>
    <row r="11" spans="1:7" s="26" customFormat="1">
      <c r="A11" s="29" t="s">
        <v>72</v>
      </c>
      <c r="B11" s="26" t="s">
        <v>71</v>
      </c>
      <c r="C11" s="30"/>
      <c r="E11" s="30"/>
      <c r="F11" s="31"/>
      <c r="G11" s="31"/>
    </row>
    <row r="12" spans="1:7" s="26" customFormat="1">
      <c r="A12" s="29" t="s">
        <v>460</v>
      </c>
      <c r="B12" s="26" t="s">
        <v>461</v>
      </c>
      <c r="C12" s="30"/>
      <c r="E12" s="30"/>
      <c r="F12" s="31"/>
      <c r="G12" s="31"/>
    </row>
    <row r="13" spans="1:7" s="26" customFormat="1">
      <c r="A13" s="29" t="s">
        <v>459</v>
      </c>
      <c r="B13" s="26" t="s">
        <v>458</v>
      </c>
      <c r="C13" s="30"/>
      <c r="E13" s="30"/>
      <c r="F13" s="31"/>
      <c r="G13" s="31"/>
    </row>
    <row r="14" spans="1:7" s="26" customFormat="1">
      <c r="A14" s="29" t="s">
        <v>85</v>
      </c>
      <c r="B14" s="26" t="s">
        <v>86</v>
      </c>
      <c r="C14" s="30"/>
      <c r="E14" s="30"/>
      <c r="F14" s="31"/>
      <c r="G14" s="31"/>
    </row>
    <row r="15" spans="1:7">
      <c r="A15" s="29" t="s">
        <v>84</v>
      </c>
      <c r="B15" s="26" t="s">
        <v>87</v>
      </c>
      <c r="C15" s="22"/>
      <c r="E15" s="22"/>
      <c r="F15" s="23"/>
      <c r="G15" s="23"/>
    </row>
    <row r="16" spans="1:7">
      <c r="A16" s="29" t="s">
        <v>153</v>
      </c>
      <c r="B16" s="26" t="s">
        <v>154</v>
      </c>
      <c r="C16" s="22"/>
      <c r="E16" s="22"/>
      <c r="F16" s="24"/>
      <c r="G16" s="24"/>
    </row>
    <row r="17" spans="1:7">
      <c r="A17" s="29" t="s">
        <v>116</v>
      </c>
      <c r="B17" t="s">
        <v>117</v>
      </c>
      <c r="C17" s="22"/>
      <c r="E17" s="22"/>
      <c r="F17" s="24"/>
      <c r="G17" s="24"/>
    </row>
    <row r="18" spans="1:7">
      <c r="A18" s="27"/>
      <c r="C18" s="22"/>
      <c r="E18" s="22"/>
      <c r="F18" s="24"/>
      <c r="G18" s="24"/>
    </row>
    <row r="19" spans="1:7">
      <c r="A19" s="27"/>
      <c r="B19" s="291"/>
      <c r="C19" s="22"/>
      <c r="E19" s="22"/>
      <c r="F19" s="24"/>
      <c r="G19" s="24"/>
    </row>
    <row r="20" spans="1:7">
      <c r="A20" s="27"/>
      <c r="B20" s="291"/>
      <c r="C20" s="22"/>
      <c r="E20" s="22"/>
      <c r="F20" s="24"/>
      <c r="G20" s="24"/>
    </row>
    <row r="21" spans="1:7">
      <c r="A21" s="29"/>
      <c r="C21" s="22"/>
      <c r="E21" s="22"/>
      <c r="F21" s="24"/>
      <c r="G21" s="24"/>
    </row>
    <row r="22" spans="1:7">
      <c r="A22" s="29"/>
      <c r="C22" s="22"/>
      <c r="E22" s="22"/>
      <c r="F22" s="24"/>
      <c r="G22" s="24"/>
    </row>
    <row r="23" spans="1:7">
      <c r="A23" s="29"/>
      <c r="C23" s="22"/>
      <c r="E23" s="22"/>
      <c r="F23" s="24"/>
      <c r="G23" s="24"/>
    </row>
    <row r="24" spans="1:7">
      <c r="A24" s="27"/>
      <c r="C24" s="22"/>
      <c r="E24" s="22"/>
      <c r="F24" s="24"/>
      <c r="G24" s="24"/>
    </row>
    <row r="25" spans="1:7">
      <c r="A25" s="27"/>
      <c r="C25" s="22"/>
      <c r="E25" s="22"/>
      <c r="F25" s="24"/>
      <c r="G25" s="24"/>
    </row>
    <row r="26" spans="1:7">
      <c r="A26" s="27"/>
      <c r="C26" s="22"/>
      <c r="E26" s="22"/>
      <c r="F26" s="24"/>
      <c r="G26" s="24"/>
    </row>
    <row r="27" spans="1:7">
      <c r="A27" s="27"/>
      <c r="C27" s="22"/>
      <c r="E27" s="22"/>
      <c r="F27" s="24"/>
      <c r="G27" s="24"/>
    </row>
    <row r="28" spans="1:7">
      <c r="A28" s="27"/>
      <c r="C28" s="22"/>
      <c r="E28" s="22"/>
      <c r="F28" s="24"/>
      <c r="G28" s="24"/>
    </row>
    <row r="29" spans="1:7">
      <c r="A29" s="29"/>
      <c r="C29" s="22"/>
      <c r="E29" s="22"/>
      <c r="F29" s="24"/>
      <c r="G29" s="24"/>
    </row>
    <row r="30" spans="1:7">
      <c r="A30" s="29"/>
      <c r="C30" s="22"/>
      <c r="E30" s="22"/>
      <c r="F30" s="24"/>
      <c r="G30" s="24"/>
    </row>
    <row r="31" spans="1:7">
      <c r="A31" s="29"/>
      <c r="C31" s="22"/>
      <c r="E31" s="22"/>
      <c r="F31" s="24"/>
      <c r="G31" s="24"/>
    </row>
  </sheetData>
  <sortState ref="A2:B6">
    <sortCondition ref="A2:A6"/>
  </sortState>
  <mergeCells count="2">
    <mergeCell ref="A7:B7"/>
    <mergeCell ref="A1:B1"/>
  </mergeCells>
  <phoneticPr fontId="6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workbookViewId="0"/>
  </sheetViews>
  <sheetFormatPr defaultColWidth="11" defaultRowHeight="15.75"/>
  <sheetData>
    <row r="1" spans="1:17">
      <c r="A1" s="71" t="s">
        <v>521</v>
      </c>
      <c r="C1" t="s">
        <v>149</v>
      </c>
      <c r="D1" t="s">
        <v>537</v>
      </c>
      <c r="J1" s="71" t="s">
        <v>598</v>
      </c>
      <c r="L1" t="s">
        <v>149</v>
      </c>
      <c r="M1" t="s">
        <v>604</v>
      </c>
    </row>
    <row r="2" spans="1:17">
      <c r="A2" t="s">
        <v>522</v>
      </c>
      <c r="J2" t="s">
        <v>522</v>
      </c>
    </row>
    <row r="3" spans="1:17">
      <c r="A3" t="s">
        <v>425</v>
      </c>
      <c r="J3" t="s">
        <v>425</v>
      </c>
    </row>
    <row r="5" spans="1:17">
      <c r="A5" t="s">
        <v>413</v>
      </c>
      <c r="E5" t="s">
        <v>426</v>
      </c>
      <c r="J5" t="s">
        <v>413</v>
      </c>
      <c r="N5" t="s">
        <v>426</v>
      </c>
    </row>
    <row r="6" spans="1:17">
      <c r="A6" t="s">
        <v>183</v>
      </c>
      <c r="B6" t="s">
        <v>414</v>
      </c>
      <c r="C6" t="s">
        <v>415</v>
      </c>
      <c r="D6" t="s">
        <v>416</v>
      </c>
      <c r="E6" t="s">
        <v>183</v>
      </c>
      <c r="F6" t="s">
        <v>414</v>
      </c>
      <c r="G6" t="s">
        <v>415</v>
      </c>
      <c r="H6" t="s">
        <v>416</v>
      </c>
      <c r="J6" t="s">
        <v>183</v>
      </c>
      <c r="K6" t="s">
        <v>414</v>
      </c>
      <c r="L6" t="s">
        <v>415</v>
      </c>
      <c r="M6" t="s">
        <v>416</v>
      </c>
      <c r="N6" t="s">
        <v>183</v>
      </c>
      <c r="O6" t="s">
        <v>414</v>
      </c>
      <c r="P6" t="s">
        <v>415</v>
      </c>
      <c r="Q6" t="s">
        <v>416</v>
      </c>
    </row>
    <row r="7" spans="1:17">
      <c r="A7">
        <v>10000</v>
      </c>
      <c r="B7" s="310" t="s">
        <v>417</v>
      </c>
      <c r="C7" s="254"/>
      <c r="D7" s="310"/>
      <c r="E7">
        <v>10000</v>
      </c>
      <c r="F7" s="310" t="s">
        <v>417</v>
      </c>
      <c r="G7" s="254"/>
      <c r="H7" s="310"/>
      <c r="J7">
        <v>15000</v>
      </c>
      <c r="K7" s="310" t="s">
        <v>434</v>
      </c>
      <c r="L7" s="254"/>
      <c r="M7" s="310"/>
      <c r="N7">
        <v>15000</v>
      </c>
      <c r="O7" s="310" t="s">
        <v>434</v>
      </c>
      <c r="P7" s="254"/>
      <c r="Q7" s="310"/>
    </row>
    <row r="8" spans="1:17">
      <c r="A8">
        <v>30000</v>
      </c>
      <c r="B8" s="310" t="s">
        <v>417</v>
      </c>
      <c r="C8" s="254"/>
      <c r="D8" s="310"/>
      <c r="E8">
        <v>30000</v>
      </c>
      <c r="F8" s="310" t="s">
        <v>427</v>
      </c>
      <c r="G8" s="254"/>
      <c r="H8" s="310"/>
      <c r="J8">
        <v>30000</v>
      </c>
      <c r="K8" s="310" t="s">
        <v>605</v>
      </c>
      <c r="L8" s="254"/>
      <c r="M8" s="310"/>
      <c r="N8">
        <v>30000</v>
      </c>
      <c r="O8" s="310" t="s">
        <v>587</v>
      </c>
      <c r="P8" s="254"/>
      <c r="Q8" s="310"/>
    </row>
    <row r="9" spans="1:17">
      <c r="A9">
        <v>45000</v>
      </c>
      <c r="B9" s="310">
        <v>-0.9</v>
      </c>
      <c r="C9" s="254"/>
      <c r="D9" s="310"/>
      <c r="E9">
        <v>45000</v>
      </c>
      <c r="F9" s="310" t="s">
        <v>428</v>
      </c>
      <c r="G9" s="254"/>
      <c r="H9" s="310"/>
      <c r="J9">
        <v>45000</v>
      </c>
      <c r="K9" s="310" t="s">
        <v>606</v>
      </c>
      <c r="L9" s="254"/>
      <c r="M9" s="310"/>
      <c r="N9">
        <v>45000</v>
      </c>
      <c r="O9" s="310" t="s">
        <v>582</v>
      </c>
      <c r="P9" s="254"/>
      <c r="Q9" s="310"/>
    </row>
    <row r="10" spans="1:17">
      <c r="A10">
        <v>60000</v>
      </c>
      <c r="B10" s="310">
        <v>-0.5</v>
      </c>
      <c r="C10" s="254"/>
      <c r="D10" s="310"/>
      <c r="E10">
        <v>60000</v>
      </c>
      <c r="F10" s="311" t="s">
        <v>429</v>
      </c>
      <c r="G10" s="254"/>
      <c r="H10" s="310"/>
      <c r="J10">
        <v>60000</v>
      </c>
      <c r="K10" s="311" t="s">
        <v>431</v>
      </c>
      <c r="L10" s="254"/>
      <c r="M10" s="310"/>
      <c r="N10">
        <v>60000</v>
      </c>
      <c r="O10" s="311" t="s">
        <v>576</v>
      </c>
      <c r="P10" s="310" t="s">
        <v>478</v>
      </c>
      <c r="Q10" s="310"/>
    </row>
    <row r="11" spans="1:17">
      <c r="A11">
        <v>75000</v>
      </c>
      <c r="B11" s="311" t="s">
        <v>418</v>
      </c>
      <c r="C11" s="310">
        <v>-0.8</v>
      </c>
      <c r="D11" s="310"/>
      <c r="E11">
        <v>75000</v>
      </c>
      <c r="F11" s="310" t="s">
        <v>430</v>
      </c>
      <c r="G11" s="310" t="s">
        <v>428</v>
      </c>
      <c r="H11" s="310"/>
      <c r="J11">
        <v>75000</v>
      </c>
      <c r="K11" s="310" t="s">
        <v>607</v>
      </c>
      <c r="L11" s="310" t="s">
        <v>435</v>
      </c>
      <c r="M11" s="310"/>
      <c r="N11">
        <v>75000</v>
      </c>
      <c r="O11" s="310" t="s">
        <v>616</v>
      </c>
      <c r="P11" s="311" t="s">
        <v>429</v>
      </c>
      <c r="Q11" s="310"/>
    </row>
    <row r="12" spans="1:17">
      <c r="A12">
        <v>90000</v>
      </c>
      <c r="B12" s="310"/>
      <c r="C12" s="310">
        <v>-0.3</v>
      </c>
      <c r="D12" s="310">
        <v>-0.9</v>
      </c>
      <c r="E12">
        <v>90000</v>
      </c>
      <c r="F12" s="310"/>
      <c r="G12" s="311" t="s">
        <v>431</v>
      </c>
      <c r="H12" s="310" t="s">
        <v>434</v>
      </c>
      <c r="J12">
        <v>90000</v>
      </c>
      <c r="K12" s="310"/>
      <c r="L12" s="311" t="s">
        <v>608</v>
      </c>
      <c r="M12" s="310" t="s">
        <v>606</v>
      </c>
      <c r="N12">
        <v>90000</v>
      </c>
      <c r="O12" s="310"/>
      <c r="P12" s="310" t="s">
        <v>436</v>
      </c>
      <c r="Q12" s="310" t="s">
        <v>582</v>
      </c>
    </row>
    <row r="13" spans="1:17">
      <c r="A13">
        <v>105000</v>
      </c>
      <c r="B13" s="310"/>
      <c r="C13" s="311" t="s">
        <v>419</v>
      </c>
      <c r="D13" s="310">
        <v>-0.6</v>
      </c>
      <c r="E13">
        <v>105000</v>
      </c>
      <c r="F13" s="310"/>
      <c r="G13" s="310" t="s">
        <v>432</v>
      </c>
      <c r="H13" s="310" t="s">
        <v>435</v>
      </c>
      <c r="J13">
        <v>105000</v>
      </c>
      <c r="K13" s="310"/>
      <c r="L13" s="310" t="s">
        <v>436</v>
      </c>
      <c r="M13" s="310" t="s">
        <v>582</v>
      </c>
      <c r="N13">
        <v>105000</v>
      </c>
      <c r="O13" s="310"/>
      <c r="P13" s="310" t="s">
        <v>614</v>
      </c>
      <c r="Q13" s="311" t="s">
        <v>429</v>
      </c>
    </row>
    <row r="14" spans="1:17">
      <c r="A14">
        <v>120000</v>
      </c>
      <c r="B14" s="310"/>
      <c r="C14" s="310" t="s">
        <v>420</v>
      </c>
      <c r="D14" s="311" t="s">
        <v>421</v>
      </c>
      <c r="E14">
        <v>120000</v>
      </c>
      <c r="F14" s="310"/>
      <c r="G14" s="310" t="s">
        <v>433</v>
      </c>
      <c r="H14" s="311" t="s">
        <v>436</v>
      </c>
      <c r="J14">
        <v>120000</v>
      </c>
      <c r="K14" s="310"/>
      <c r="L14" s="310" t="s">
        <v>609</v>
      </c>
      <c r="M14" s="311" t="s">
        <v>610</v>
      </c>
      <c r="N14">
        <v>120000</v>
      </c>
      <c r="O14" s="310"/>
      <c r="P14" s="310" t="s">
        <v>615</v>
      </c>
      <c r="Q14" s="310" t="s">
        <v>436</v>
      </c>
    </row>
    <row r="15" spans="1:17">
      <c r="A15">
        <v>135000</v>
      </c>
      <c r="B15" s="310"/>
      <c r="C15" s="310"/>
      <c r="D15" s="310" t="s">
        <v>422</v>
      </c>
      <c r="E15">
        <v>135000</v>
      </c>
      <c r="F15" s="310"/>
      <c r="G15" s="310"/>
      <c r="H15" s="310" t="s">
        <v>439</v>
      </c>
      <c r="J15">
        <v>135000</v>
      </c>
      <c r="K15" s="310"/>
      <c r="L15" s="310"/>
      <c r="M15" s="310" t="s">
        <v>611</v>
      </c>
      <c r="N15">
        <v>135000</v>
      </c>
      <c r="O15" s="310"/>
      <c r="P15" s="310"/>
      <c r="Q15" s="310" t="s">
        <v>423</v>
      </c>
    </row>
    <row r="16" spans="1:17">
      <c r="A16">
        <v>150000</v>
      </c>
      <c r="B16" s="310"/>
      <c r="C16" s="310"/>
      <c r="D16" s="310" t="s">
        <v>423</v>
      </c>
      <c r="E16">
        <v>150000</v>
      </c>
      <c r="F16" s="310"/>
      <c r="G16" s="310"/>
      <c r="H16" s="310" t="s">
        <v>438</v>
      </c>
      <c r="J16">
        <v>150000</v>
      </c>
      <c r="K16" s="310"/>
      <c r="L16" s="310"/>
      <c r="M16" s="310" t="s">
        <v>571</v>
      </c>
      <c r="N16">
        <v>150000</v>
      </c>
      <c r="O16" s="310"/>
      <c r="P16" s="310"/>
      <c r="Q16" s="310" t="s">
        <v>613</v>
      </c>
    </row>
    <row r="17" spans="1:17">
      <c r="A17">
        <v>165000</v>
      </c>
      <c r="B17" s="310"/>
      <c r="C17" s="310"/>
      <c r="D17" s="310" t="s">
        <v>424</v>
      </c>
      <c r="E17">
        <v>165000</v>
      </c>
      <c r="F17" s="310"/>
      <c r="G17" s="310"/>
      <c r="H17" s="310" t="s">
        <v>437</v>
      </c>
      <c r="J17">
        <v>165000</v>
      </c>
      <c r="K17" s="310"/>
      <c r="L17" s="310"/>
      <c r="M17" s="310" t="s">
        <v>612</v>
      </c>
      <c r="N17">
        <v>165000</v>
      </c>
      <c r="O17" s="310"/>
      <c r="P17" s="310"/>
      <c r="Q17" s="310" t="s">
        <v>578</v>
      </c>
    </row>
    <row r="24" spans="1:17">
      <c r="A24" s="71" t="s">
        <v>575</v>
      </c>
      <c r="C24" t="s">
        <v>149</v>
      </c>
      <c r="D24" t="s">
        <v>482</v>
      </c>
    </row>
    <row r="25" spans="1:17">
      <c r="A25" t="s">
        <v>522</v>
      </c>
    </row>
    <row r="26" spans="1:17">
      <c r="A26" t="s">
        <v>425</v>
      </c>
    </row>
    <row r="28" spans="1:17">
      <c r="A28" t="s">
        <v>413</v>
      </c>
      <c r="E28" t="s">
        <v>426</v>
      </c>
    </row>
    <row r="29" spans="1:17">
      <c r="A29" t="s">
        <v>183</v>
      </c>
      <c r="B29" t="s">
        <v>414</v>
      </c>
      <c r="C29" t="s">
        <v>415</v>
      </c>
      <c r="D29" t="s">
        <v>416</v>
      </c>
      <c r="E29" t="s">
        <v>183</v>
      </c>
      <c r="F29" t="s">
        <v>414</v>
      </c>
      <c r="G29" t="s">
        <v>415</v>
      </c>
      <c r="H29" t="s">
        <v>416</v>
      </c>
    </row>
    <row r="30" spans="1:17">
      <c r="A30">
        <v>10000</v>
      </c>
      <c r="B30" s="310" t="s">
        <v>427</v>
      </c>
      <c r="C30" s="310"/>
      <c r="D30" s="310"/>
      <c r="E30" s="15">
        <v>10000</v>
      </c>
      <c r="F30" s="310" t="s">
        <v>434</v>
      </c>
      <c r="G30" s="310"/>
      <c r="H30" s="310"/>
    </row>
    <row r="31" spans="1:17">
      <c r="A31">
        <v>30000</v>
      </c>
      <c r="B31" s="310" t="s">
        <v>428</v>
      </c>
      <c r="C31" s="310"/>
      <c r="D31" s="310"/>
      <c r="E31" s="15">
        <v>30000</v>
      </c>
      <c r="F31" s="310" t="s">
        <v>587</v>
      </c>
      <c r="G31" s="310"/>
      <c r="H31" s="310"/>
    </row>
    <row r="32" spans="1:17">
      <c r="A32">
        <v>45000</v>
      </c>
      <c r="B32" s="310" t="s">
        <v>478</v>
      </c>
      <c r="C32" s="310"/>
      <c r="D32" s="310"/>
      <c r="E32" s="15">
        <v>45000</v>
      </c>
      <c r="F32" s="311" t="s">
        <v>574</v>
      </c>
      <c r="G32" s="322"/>
      <c r="H32" s="322"/>
    </row>
    <row r="33" spans="1:8">
      <c r="A33">
        <v>60000</v>
      </c>
      <c r="B33" s="330" t="s">
        <v>568</v>
      </c>
      <c r="C33" s="310"/>
      <c r="D33" s="310"/>
      <c r="E33" s="15">
        <v>60000</v>
      </c>
      <c r="F33" s="322" t="s">
        <v>586</v>
      </c>
      <c r="G33" s="322"/>
      <c r="H33" s="322"/>
    </row>
    <row r="34" spans="1:8">
      <c r="A34">
        <v>75000</v>
      </c>
      <c r="B34" s="329" t="s">
        <v>569</v>
      </c>
      <c r="C34" s="322" t="s">
        <v>570</v>
      </c>
      <c r="D34" s="322"/>
      <c r="E34" s="15">
        <v>75000</v>
      </c>
      <c r="F34" s="322" t="s">
        <v>585</v>
      </c>
      <c r="G34" s="311" t="s">
        <v>422</v>
      </c>
      <c r="H34" s="322"/>
    </row>
    <row r="35" spans="1:8">
      <c r="A35">
        <v>90000</v>
      </c>
      <c r="B35" s="322"/>
      <c r="C35" s="330" t="s">
        <v>571</v>
      </c>
      <c r="D35" s="322" t="s">
        <v>478</v>
      </c>
      <c r="E35" s="15">
        <v>90000</v>
      </c>
      <c r="F35" s="322"/>
      <c r="G35" s="322" t="s">
        <v>577</v>
      </c>
      <c r="H35" s="322" t="s">
        <v>582</v>
      </c>
    </row>
    <row r="36" spans="1:8">
      <c r="A36">
        <v>105000</v>
      </c>
      <c r="B36" s="322"/>
      <c r="C36" s="329" t="s">
        <v>572</v>
      </c>
      <c r="D36" s="330" t="s">
        <v>574</v>
      </c>
      <c r="E36" s="15">
        <v>105000</v>
      </c>
      <c r="F36" s="322"/>
      <c r="G36" s="322" t="s">
        <v>584</v>
      </c>
      <c r="H36" s="330" t="s">
        <v>419</v>
      </c>
    </row>
    <row r="37" spans="1:8">
      <c r="A37">
        <v>120000</v>
      </c>
      <c r="B37" s="322"/>
      <c r="C37" s="322" t="s">
        <v>573</v>
      </c>
      <c r="D37" s="329" t="s">
        <v>436</v>
      </c>
      <c r="E37" s="15">
        <v>120000</v>
      </c>
      <c r="F37" s="322"/>
      <c r="G37" s="322" t="s">
        <v>583</v>
      </c>
      <c r="H37" s="322" t="s">
        <v>420</v>
      </c>
    </row>
    <row r="38" spans="1:8">
      <c r="A38">
        <v>135000</v>
      </c>
      <c r="B38" s="322"/>
      <c r="C38" s="322"/>
      <c r="D38" s="329" t="s">
        <v>576</v>
      </c>
      <c r="E38" s="15">
        <v>135000</v>
      </c>
      <c r="F38" s="322"/>
      <c r="G38" s="322"/>
      <c r="H38" s="322" t="s">
        <v>581</v>
      </c>
    </row>
    <row r="39" spans="1:8">
      <c r="A39">
        <v>150000</v>
      </c>
      <c r="B39" s="310"/>
      <c r="C39" s="310"/>
      <c r="D39" s="328" t="s">
        <v>577</v>
      </c>
      <c r="E39" s="15">
        <v>150000</v>
      </c>
      <c r="F39" s="322"/>
      <c r="G39" s="322"/>
      <c r="H39" s="322" t="s">
        <v>580</v>
      </c>
    </row>
    <row r="40" spans="1:8">
      <c r="A40">
        <v>165000</v>
      </c>
      <c r="B40" s="310"/>
      <c r="C40" s="310"/>
      <c r="D40" s="310" t="s">
        <v>578</v>
      </c>
      <c r="E40" s="15">
        <v>165000</v>
      </c>
      <c r="F40" s="310"/>
      <c r="G40" s="310"/>
      <c r="H40" s="310" t="s">
        <v>579</v>
      </c>
    </row>
    <row r="41" spans="1:8">
      <c r="B41" s="15">
        <v>48000</v>
      </c>
      <c r="C41" s="15">
        <v>75000</v>
      </c>
      <c r="D41" s="15">
        <v>100000</v>
      </c>
      <c r="E41" s="15"/>
      <c r="F41" s="15">
        <v>43000</v>
      </c>
      <c r="G41" s="15">
        <v>60000</v>
      </c>
      <c r="H41" s="15">
        <v>91000</v>
      </c>
    </row>
    <row r="43" spans="1:8">
      <c r="A43" s="71" t="s">
        <v>632</v>
      </c>
      <c r="C43" t="s">
        <v>628</v>
      </c>
      <c r="D43" t="s">
        <v>633</v>
      </c>
    </row>
    <row r="44" spans="1:8">
      <c r="A44" t="s">
        <v>522</v>
      </c>
    </row>
    <row r="45" spans="1:8">
      <c r="A45" t="s">
        <v>425</v>
      </c>
    </row>
    <row r="47" spans="1:8">
      <c r="A47" t="s">
        <v>413</v>
      </c>
      <c r="E47" t="s">
        <v>426</v>
      </c>
    </row>
    <row r="48" spans="1:8">
      <c r="A48" t="s">
        <v>183</v>
      </c>
      <c r="B48" t="s">
        <v>414</v>
      </c>
      <c r="C48" t="s">
        <v>415</v>
      </c>
      <c r="D48" t="s">
        <v>416</v>
      </c>
      <c r="E48" t="s">
        <v>183</v>
      </c>
      <c r="F48" t="s">
        <v>414</v>
      </c>
      <c r="G48" t="s">
        <v>415</v>
      </c>
      <c r="H48" t="s">
        <v>416</v>
      </c>
    </row>
    <row r="49" spans="1:8">
      <c r="A49">
        <v>10000</v>
      </c>
      <c r="B49">
        <v>-3</v>
      </c>
      <c r="E49" s="15">
        <v>10000</v>
      </c>
    </row>
    <row r="50" spans="1:8">
      <c r="A50">
        <v>30000</v>
      </c>
      <c r="B50">
        <v>-2.2000000000000002</v>
      </c>
      <c r="E50" s="15">
        <v>30000</v>
      </c>
      <c r="F50">
        <v>-1.8</v>
      </c>
    </row>
    <row r="51" spans="1:8">
      <c r="A51">
        <v>45000</v>
      </c>
      <c r="B51">
        <v>-1.3</v>
      </c>
      <c r="E51" s="15">
        <v>45000</v>
      </c>
      <c r="F51" s="16">
        <v>0</v>
      </c>
    </row>
    <row r="52" spans="1:8">
      <c r="A52">
        <v>60000</v>
      </c>
      <c r="B52" s="16">
        <v>1.6</v>
      </c>
      <c r="E52" s="15">
        <v>60000</v>
      </c>
      <c r="F52">
        <v>7.7</v>
      </c>
      <c r="G52">
        <v>-0.9</v>
      </c>
    </row>
    <row r="53" spans="1:8">
      <c r="A53">
        <v>75000</v>
      </c>
      <c r="B53">
        <v>12.1</v>
      </c>
      <c r="C53">
        <v>-0.6</v>
      </c>
      <c r="E53" s="15">
        <v>75000</v>
      </c>
      <c r="G53" s="16">
        <v>1.1000000000000001</v>
      </c>
    </row>
    <row r="54" spans="1:8">
      <c r="A54">
        <v>90000</v>
      </c>
      <c r="C54" s="16">
        <v>1.8</v>
      </c>
      <c r="D54">
        <v>-1.2</v>
      </c>
      <c r="E54" s="15">
        <v>90000</v>
      </c>
      <c r="G54">
        <v>7.2</v>
      </c>
      <c r="H54">
        <v>-0.3</v>
      </c>
    </row>
    <row r="55" spans="1:8">
      <c r="A55">
        <v>105000</v>
      </c>
      <c r="D55">
        <v>-0.4</v>
      </c>
      <c r="E55" s="15">
        <v>105000</v>
      </c>
      <c r="H55" s="16">
        <v>1.1000000000000001</v>
      </c>
    </row>
    <row r="56" spans="1:8">
      <c r="A56">
        <v>120000</v>
      </c>
      <c r="D56" s="16">
        <v>0.9</v>
      </c>
      <c r="E56" s="15">
        <v>120000</v>
      </c>
      <c r="H56">
        <v>3.9</v>
      </c>
    </row>
    <row r="57" spans="1:8">
      <c r="A57">
        <v>135000</v>
      </c>
      <c r="E57" s="15">
        <v>135000</v>
      </c>
    </row>
    <row r="58" spans="1:8">
      <c r="A58">
        <v>150000</v>
      </c>
      <c r="E58" s="15">
        <v>150000</v>
      </c>
    </row>
    <row r="59" spans="1:8">
      <c r="A59">
        <v>165000</v>
      </c>
      <c r="E59" s="15">
        <v>165000</v>
      </c>
    </row>
    <row r="60" spans="1:8">
      <c r="B60">
        <v>52000</v>
      </c>
      <c r="C60">
        <v>80000</v>
      </c>
      <c r="D60">
        <v>107000</v>
      </c>
      <c r="F60">
        <v>45000</v>
      </c>
      <c r="G60">
        <v>67000</v>
      </c>
      <c r="H60">
        <v>95000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47"/>
  <sheetViews>
    <sheetView zoomScaleNormal="100" zoomScalePageLayoutView="125" workbookViewId="0">
      <selection sqref="A1:J1"/>
    </sheetView>
  </sheetViews>
  <sheetFormatPr defaultColWidth="10" defaultRowHeight="15.75"/>
  <cols>
    <col min="1" max="1" width="59.125" style="160" customWidth="1"/>
    <col min="2" max="2" width="10.875" style="160" customWidth="1"/>
    <col min="3" max="3" width="12.625" style="191" bestFit="1" customWidth="1"/>
    <col min="4" max="4" width="9.375" style="160" customWidth="1"/>
    <col min="5" max="5" width="12.625" style="160" customWidth="1"/>
    <col min="6" max="6" width="11.625" style="160" customWidth="1"/>
    <col min="7" max="8" width="10" style="160"/>
    <col min="9" max="9" width="10" style="183"/>
    <col min="10" max="10" width="11.125" style="160" customWidth="1"/>
    <col min="11" max="11" width="10.625" style="160" customWidth="1"/>
    <col min="12" max="12" width="12.125" style="160" customWidth="1"/>
    <col min="13" max="16384" width="10" style="160"/>
  </cols>
  <sheetData>
    <row r="1" spans="1:12" ht="26.25">
      <c r="A1" s="598" t="s">
        <v>787</v>
      </c>
      <c r="B1" s="599"/>
      <c r="C1" s="599"/>
      <c r="D1" s="599"/>
      <c r="E1" s="599"/>
      <c r="F1" s="599"/>
      <c r="G1" s="599"/>
      <c r="H1" s="599"/>
      <c r="I1" s="599"/>
      <c r="J1" s="600"/>
    </row>
    <row r="2" spans="1:12">
      <c r="A2" s="601"/>
      <c r="B2" s="602"/>
      <c r="C2" s="602"/>
      <c r="D2" s="602"/>
      <c r="E2" s="602"/>
      <c r="F2" s="602"/>
      <c r="G2" s="602"/>
      <c r="H2" s="602"/>
      <c r="I2" s="602"/>
      <c r="J2" s="603"/>
    </row>
    <row r="3" spans="1:12">
      <c r="A3" s="209"/>
      <c r="B3" s="208"/>
      <c r="C3" s="208"/>
      <c r="D3" s="208"/>
      <c r="E3" s="208"/>
      <c r="F3" s="208"/>
      <c r="G3" s="208"/>
      <c r="H3" s="208"/>
      <c r="I3" s="208"/>
      <c r="J3" s="165" t="s">
        <v>847</v>
      </c>
      <c r="K3" s="250" t="s">
        <v>760</v>
      </c>
      <c r="L3" s="234"/>
    </row>
    <row r="4" spans="1:12">
      <c r="A4" s="209" t="s">
        <v>248</v>
      </c>
      <c r="B4" s="208"/>
      <c r="C4" s="208"/>
      <c r="D4" s="208"/>
      <c r="E4" s="208"/>
      <c r="F4" s="208"/>
      <c r="G4" s="208"/>
      <c r="H4" s="208"/>
      <c r="I4" s="208"/>
      <c r="J4" s="165"/>
      <c r="K4" s="251"/>
    </row>
    <row r="5" spans="1:12">
      <c r="A5" s="209"/>
      <c r="B5" s="208"/>
      <c r="C5" s="208"/>
      <c r="D5" s="208"/>
      <c r="E5" s="208"/>
      <c r="F5" s="208"/>
      <c r="G5" s="208"/>
      <c r="H5" s="208"/>
      <c r="I5" s="208"/>
      <c r="J5" s="165"/>
      <c r="K5" s="252" t="s">
        <v>334</v>
      </c>
      <c r="L5" s="233"/>
    </row>
    <row r="6" spans="1:12">
      <c r="A6" s="166" t="s">
        <v>412</v>
      </c>
      <c r="B6" s="167"/>
      <c r="C6" s="255" t="s">
        <v>383</v>
      </c>
      <c r="D6" s="168"/>
      <c r="E6" s="169" t="s">
        <v>841</v>
      </c>
      <c r="F6" s="169"/>
      <c r="G6" s="169"/>
      <c r="H6" s="169"/>
      <c r="I6" s="170"/>
      <c r="J6" s="165"/>
      <c r="K6" s="253"/>
    </row>
    <row r="7" spans="1:12">
      <c r="A7" s="209"/>
      <c r="B7" s="208"/>
      <c r="C7" s="208"/>
      <c r="D7" s="208"/>
      <c r="E7" s="208"/>
      <c r="F7" s="208"/>
      <c r="G7" s="208"/>
      <c r="H7" s="208"/>
      <c r="I7" s="208"/>
      <c r="J7" s="165"/>
      <c r="K7" s="259" t="s">
        <v>219</v>
      </c>
      <c r="L7" s="249"/>
    </row>
    <row r="8" spans="1:12">
      <c r="A8" s="161"/>
      <c r="B8" s="162"/>
      <c r="C8" s="163"/>
      <c r="D8" s="162"/>
      <c r="E8" s="162"/>
      <c r="F8" s="162"/>
      <c r="G8" s="162"/>
      <c r="H8" s="162"/>
      <c r="I8" s="164"/>
      <c r="J8" s="212"/>
    </row>
    <row r="9" spans="1:12">
      <c r="A9" s="166" t="s">
        <v>79</v>
      </c>
      <c r="B9" s="167"/>
      <c r="C9" s="201" t="s">
        <v>178</v>
      </c>
      <c r="D9" s="168"/>
      <c r="E9" s="169" t="s">
        <v>332</v>
      </c>
      <c r="F9" s="169"/>
      <c r="G9" s="169"/>
      <c r="H9" s="169"/>
      <c r="I9" s="170"/>
      <c r="J9" s="171"/>
      <c r="K9" s="511" t="s">
        <v>317</v>
      </c>
      <c r="L9" s="260"/>
    </row>
    <row r="10" spans="1:12">
      <c r="A10" s="161"/>
      <c r="B10" s="172"/>
      <c r="C10" s="163"/>
      <c r="D10" s="172"/>
      <c r="E10" s="169"/>
      <c r="F10" s="173"/>
      <c r="G10" s="169"/>
      <c r="H10" s="169"/>
      <c r="I10" s="170"/>
      <c r="J10" s="171"/>
    </row>
    <row r="11" spans="1:12">
      <c r="A11" s="318"/>
      <c r="B11" s="172"/>
      <c r="C11" s="163"/>
      <c r="D11" s="172"/>
      <c r="E11" s="169"/>
      <c r="F11" s="173"/>
      <c r="G11" s="169"/>
      <c r="H11" s="169"/>
      <c r="I11" s="170"/>
      <c r="J11" s="171"/>
    </row>
    <row r="12" spans="1:12">
      <c r="A12" s="166" t="s">
        <v>466</v>
      </c>
      <c r="B12" s="167"/>
      <c r="C12" s="201" t="s">
        <v>467</v>
      </c>
      <c r="D12" s="168"/>
      <c r="E12" s="169" t="s">
        <v>470</v>
      </c>
      <c r="F12" s="169"/>
      <c r="G12" s="169"/>
      <c r="H12" s="169"/>
      <c r="I12" s="170"/>
      <c r="J12" s="171"/>
    </row>
    <row r="13" spans="1:12">
      <c r="A13" s="318"/>
      <c r="B13" s="172"/>
      <c r="C13" s="163"/>
      <c r="D13" s="172"/>
      <c r="E13" s="169"/>
      <c r="F13" s="173"/>
      <c r="G13" s="169"/>
      <c r="H13" s="169"/>
      <c r="I13" s="170"/>
      <c r="J13" s="171"/>
    </row>
    <row r="14" spans="1:12">
      <c r="A14" s="161"/>
      <c r="B14" s="172"/>
      <c r="C14" s="163"/>
      <c r="D14" s="172"/>
      <c r="E14" s="169"/>
      <c r="F14" s="173"/>
      <c r="G14" s="169"/>
      <c r="H14" s="169"/>
      <c r="I14" s="170"/>
      <c r="J14" s="171"/>
    </row>
    <row r="15" spans="1:12">
      <c r="A15" s="166" t="s">
        <v>320</v>
      </c>
      <c r="B15" s="167" t="s">
        <v>215</v>
      </c>
      <c r="C15" s="202">
        <v>79000</v>
      </c>
      <c r="D15" s="162" t="s">
        <v>216</v>
      </c>
      <c r="E15" s="169" t="s">
        <v>830</v>
      </c>
      <c r="F15" s="169"/>
      <c r="G15" s="169"/>
      <c r="H15" s="169"/>
      <c r="I15" s="170"/>
      <c r="J15" s="171"/>
    </row>
    <row r="16" spans="1:12">
      <c r="A16" s="161"/>
      <c r="B16" s="174"/>
      <c r="C16" s="163"/>
      <c r="D16" s="172"/>
      <c r="E16" s="169"/>
      <c r="F16" s="169"/>
      <c r="G16" s="169"/>
      <c r="H16" s="169"/>
      <c r="I16" s="170"/>
      <c r="J16" s="171"/>
    </row>
    <row r="17" spans="1:10">
      <c r="A17" s="161"/>
      <c r="B17" s="174"/>
      <c r="C17" s="163"/>
      <c r="D17" s="172"/>
      <c r="E17" s="169"/>
      <c r="F17" s="169"/>
      <c r="G17" s="169"/>
      <c r="H17" s="169"/>
      <c r="I17" s="170"/>
      <c r="J17" s="171"/>
    </row>
    <row r="18" spans="1:10" ht="12.75" customHeight="1">
      <c r="A18" s="166" t="s">
        <v>234</v>
      </c>
      <c r="B18" s="175" t="s">
        <v>235</v>
      </c>
      <c r="C18" s="203">
        <v>8</v>
      </c>
      <c r="D18" s="176" t="s">
        <v>302</v>
      </c>
      <c r="E18" s="169" t="s">
        <v>620</v>
      </c>
      <c r="F18" s="169"/>
      <c r="G18" s="169"/>
      <c r="H18" s="169"/>
      <c r="I18" s="170"/>
      <c r="J18" s="171"/>
    </row>
    <row r="19" spans="1:10">
      <c r="A19" s="161"/>
      <c r="B19" s="174"/>
      <c r="C19" s="163"/>
      <c r="D19" s="172"/>
      <c r="E19" s="169"/>
      <c r="F19" s="169"/>
      <c r="G19" s="169"/>
      <c r="H19" s="169"/>
      <c r="I19" s="170"/>
      <c r="J19" s="171"/>
    </row>
    <row r="20" spans="1:10">
      <c r="A20" s="161"/>
      <c r="B20" s="174"/>
      <c r="C20" s="163"/>
      <c r="D20" s="172"/>
      <c r="E20" s="169"/>
      <c r="F20" s="169"/>
      <c r="G20" s="169"/>
      <c r="H20" s="169"/>
      <c r="I20" s="170"/>
      <c r="J20" s="171"/>
    </row>
    <row r="21" spans="1:10" ht="12.75" customHeight="1">
      <c r="A21" s="166" t="s">
        <v>303</v>
      </c>
      <c r="B21" s="175" t="s">
        <v>304</v>
      </c>
      <c r="C21" s="203">
        <v>100</v>
      </c>
      <c r="D21" s="176" t="s">
        <v>305</v>
      </c>
      <c r="E21" s="169" t="s">
        <v>306</v>
      </c>
      <c r="F21" s="169"/>
      <c r="G21" s="169"/>
      <c r="H21" s="169"/>
      <c r="I21" s="170"/>
      <c r="J21" s="171"/>
    </row>
    <row r="22" spans="1:10">
      <c r="A22" s="161"/>
      <c r="B22" s="174"/>
      <c r="C22" s="163"/>
      <c r="D22" s="172"/>
      <c r="E22" s="267"/>
      <c r="F22" s="189"/>
      <c r="G22" s="169"/>
      <c r="H22" s="169"/>
      <c r="I22" s="170"/>
      <c r="J22" s="171"/>
    </row>
    <row r="23" spans="1:10">
      <c r="A23" s="161"/>
      <c r="B23" s="174"/>
      <c r="C23" s="163"/>
      <c r="D23" s="172"/>
      <c r="E23" s="169"/>
      <c r="F23" s="169"/>
      <c r="G23" s="169"/>
      <c r="H23" s="169"/>
      <c r="I23" s="170"/>
      <c r="J23" s="171"/>
    </row>
    <row r="24" spans="1:10">
      <c r="A24" s="166" t="s">
        <v>236</v>
      </c>
      <c r="B24" s="175" t="s">
        <v>237</v>
      </c>
      <c r="C24" s="201">
        <v>11.3</v>
      </c>
      <c r="D24" s="162" t="s">
        <v>238</v>
      </c>
      <c r="E24" s="169" t="s">
        <v>621</v>
      </c>
      <c r="F24" s="169"/>
      <c r="G24" s="169"/>
      <c r="H24" s="169"/>
      <c r="I24" s="170"/>
      <c r="J24" s="171"/>
    </row>
    <row r="25" spans="1:10">
      <c r="A25" s="161"/>
      <c r="B25" s="172"/>
      <c r="C25" s="163"/>
      <c r="D25" s="172"/>
      <c r="E25" s="169"/>
      <c r="F25" s="169"/>
      <c r="G25" s="169"/>
      <c r="H25" s="169"/>
      <c r="I25" s="170"/>
      <c r="J25" s="171"/>
    </row>
    <row r="26" spans="1:10">
      <c r="A26" s="161"/>
      <c r="B26" s="172"/>
      <c r="C26" s="163"/>
      <c r="D26" s="172"/>
      <c r="E26" s="169"/>
      <c r="F26" s="169"/>
      <c r="G26" s="169"/>
      <c r="H26" s="169"/>
      <c r="I26" s="170"/>
      <c r="J26" s="171"/>
    </row>
    <row r="27" spans="1:10">
      <c r="A27" s="166" t="s">
        <v>485</v>
      </c>
      <c r="B27" s="175" t="s">
        <v>486</v>
      </c>
      <c r="C27" s="368">
        <f>ROUND('Tät trafik'!J25*100,2)</f>
        <v>3.81</v>
      </c>
      <c r="D27" s="162" t="s">
        <v>302</v>
      </c>
      <c r="E27" s="169" t="str">
        <f>IF(Normalvärden!O20&gt;0,"Andel tät trafik med BG &gt; 0,7 för aktuellt trafikflöde är "&amp;ROUND('Tät trafik'!J25*100,2)&amp;".","")</f>
        <v>Andel tät trafik med BG &gt; 0,7 för aktuellt trafikflöde är 3,81.</v>
      </c>
      <c r="F27" s="169"/>
      <c r="G27" s="169"/>
      <c r="H27" s="169"/>
      <c r="I27" s="170"/>
      <c r="J27" s="171"/>
    </row>
    <row r="28" spans="1:10">
      <c r="A28" s="161"/>
      <c r="B28" s="172"/>
      <c r="C28" s="163"/>
      <c r="D28" s="172"/>
      <c r="E28" s="169"/>
      <c r="F28" s="169"/>
      <c r="G28" s="169"/>
      <c r="H28" s="169"/>
      <c r="I28" s="170"/>
      <c r="J28" s="171"/>
    </row>
    <row r="29" spans="1:10">
      <c r="A29" s="161"/>
      <c r="B29" s="172"/>
      <c r="C29" s="163"/>
      <c r="D29" s="172"/>
      <c r="E29" s="169"/>
      <c r="F29" s="169"/>
      <c r="G29" s="169"/>
      <c r="H29" s="169"/>
      <c r="I29" s="170"/>
      <c r="J29" s="171"/>
    </row>
    <row r="30" spans="1:10">
      <c r="A30" s="166" t="s">
        <v>318</v>
      </c>
      <c r="B30" s="175" t="s">
        <v>239</v>
      </c>
      <c r="C30" s="258">
        <f>Normalvärden!O24*'Komplettering MCS_kö'!B6</f>
        <v>75.148093036000006</v>
      </c>
      <c r="D30" s="162" t="s">
        <v>240</v>
      </c>
      <c r="E30" s="169" t="str">
        <f>IF(Normalvärden!O24&gt;0,"Normalt antal olyckor är "&amp;ROUND(Normalvärden!O24*'Komplettering MCS_kö'!B6,1)&amp;" för aktuell vägtyp och hastighetsgräns.","")</f>
        <v>Normalt antal olyckor är 75,1 för aktuell vägtyp och hastighetsgräns.</v>
      </c>
      <c r="F30" s="169"/>
      <c r="G30" s="169"/>
      <c r="H30" s="169"/>
      <c r="I30" s="170"/>
      <c r="J30" s="171"/>
    </row>
    <row r="31" spans="1:10">
      <c r="A31" s="161"/>
      <c r="B31" s="172"/>
      <c r="C31" s="163"/>
      <c r="D31" s="172"/>
      <c r="E31" s="169" t="s">
        <v>622</v>
      </c>
      <c r="F31" s="169"/>
      <c r="G31" s="169"/>
      <c r="H31" s="169"/>
      <c r="I31" s="170"/>
      <c r="J31" s="171"/>
    </row>
    <row r="32" spans="1:10">
      <c r="A32" s="161"/>
      <c r="B32" s="172"/>
      <c r="C32" s="163"/>
      <c r="D32" s="172"/>
      <c r="E32" s="169"/>
      <c r="F32" s="169"/>
      <c r="G32" s="169"/>
      <c r="H32" s="169"/>
      <c r="I32" s="170"/>
      <c r="J32" s="171"/>
    </row>
    <row r="33" spans="1:10">
      <c r="A33" s="166" t="s">
        <v>241</v>
      </c>
      <c r="B33" s="175" t="s">
        <v>242</v>
      </c>
      <c r="C33" s="258">
        <f>Normalvärden!C23</f>
        <v>103.5</v>
      </c>
      <c r="D33" s="162" t="s">
        <v>243</v>
      </c>
      <c r="E33" s="169" t="str">
        <f>IF(Normalvärden!O23&gt;0,"Medelhastigheten utifrån EVA-beräkning är "&amp;ROUND(Normalvärden!C23,1)&amp;" km/h för aktuell vägtyp och hastighetsgräns,","")</f>
        <v>Medelhastigheten utifrån EVA-beräkning är 103,5 km/h för aktuell vägtyp och hastighetsgräns,</v>
      </c>
      <c r="F33" s="169"/>
      <c r="G33" s="169"/>
      <c r="H33" s="169"/>
      <c r="I33" s="170"/>
      <c r="J33" s="171"/>
    </row>
    <row r="34" spans="1:10">
      <c r="A34" s="161"/>
      <c r="B34" s="172"/>
      <c r="C34" s="163"/>
      <c r="D34" s="172"/>
      <c r="E34" s="169" t="s">
        <v>333</v>
      </c>
      <c r="F34" s="169"/>
      <c r="G34" s="169"/>
      <c r="H34" s="169"/>
      <c r="I34" s="170"/>
      <c r="J34" s="171"/>
    </row>
    <row r="35" spans="1:10">
      <c r="A35" s="161"/>
      <c r="B35" s="172"/>
      <c r="C35" s="163"/>
      <c r="D35" s="172"/>
      <c r="E35" s="169"/>
      <c r="F35" s="169"/>
      <c r="G35" s="169"/>
      <c r="H35" s="169"/>
      <c r="I35" s="170"/>
      <c r="J35" s="171"/>
    </row>
    <row r="36" spans="1:10">
      <c r="A36" s="184"/>
      <c r="B36" s="185"/>
      <c r="C36" s="204"/>
      <c r="D36" s="185"/>
      <c r="E36" s="205"/>
      <c r="F36" s="205"/>
      <c r="G36" s="205"/>
      <c r="H36" s="205"/>
      <c r="I36" s="206"/>
      <c r="J36" s="207"/>
    </row>
    <row r="37" spans="1:10">
      <c r="A37" s="211" t="s">
        <v>249</v>
      </c>
      <c r="B37" s="172"/>
      <c r="C37" s="163"/>
      <c r="D37" s="172"/>
      <c r="E37" s="169"/>
      <c r="F37" s="169"/>
      <c r="G37" s="169"/>
      <c r="H37" s="169"/>
      <c r="I37" s="170"/>
      <c r="J37" s="171"/>
    </row>
    <row r="38" spans="1:10">
      <c r="A38" s="161"/>
      <c r="B38" s="172"/>
      <c r="C38" s="163"/>
      <c r="D38" s="172"/>
      <c r="E38" s="169"/>
      <c r="F38" s="169"/>
      <c r="G38" s="169"/>
      <c r="H38" s="169"/>
      <c r="I38" s="170"/>
      <c r="J38" s="171"/>
    </row>
    <row r="39" spans="1:10">
      <c r="A39" s="166" t="s">
        <v>246</v>
      </c>
      <c r="B39" s="175" t="s">
        <v>245</v>
      </c>
      <c r="C39" s="258">
        <f>Sekundärolyckor!B40</f>
        <v>24.066477971598577</v>
      </c>
      <c r="D39" s="162" t="s">
        <v>244</v>
      </c>
      <c r="E39" s="169" t="str">
        <f>IF(Sekundärolyckor!B40&gt;0,"Frekvensen för antal sekundärolyckor/månad är "&amp;ROUND(Sekundärolyckor!B40,1)&amp;" för aktuell vägtyp och hastighetsgräns.","")</f>
        <v>Frekvensen för antal sekundärolyckor/månad är 24,1 för aktuell vägtyp och hastighetsgräns.</v>
      </c>
      <c r="F39" s="169"/>
      <c r="G39" s="169"/>
      <c r="H39" s="169"/>
      <c r="I39" s="170"/>
      <c r="J39" s="171"/>
    </row>
    <row r="40" spans="1:10">
      <c r="A40" s="161"/>
      <c r="B40" s="172"/>
      <c r="C40" s="163"/>
      <c r="D40" s="172"/>
      <c r="E40" s="169" t="s">
        <v>90</v>
      </c>
      <c r="F40" s="169"/>
      <c r="G40" s="169"/>
      <c r="H40" s="169"/>
      <c r="I40" s="170"/>
      <c r="J40" s="171"/>
    </row>
    <row r="41" spans="1:10">
      <c r="A41" s="161"/>
      <c r="B41" s="172"/>
      <c r="C41" s="163"/>
      <c r="D41" s="172"/>
      <c r="E41" s="169"/>
      <c r="F41" s="169"/>
      <c r="G41" s="169"/>
      <c r="H41" s="169"/>
      <c r="I41" s="170"/>
      <c r="J41" s="171"/>
    </row>
    <row r="42" spans="1:10">
      <c r="A42" s="166" t="s">
        <v>705</v>
      </c>
      <c r="B42" s="175" t="s">
        <v>251</v>
      </c>
      <c r="C42" s="258">
        <f>'Investering &amp; drift '!H5*$C$24</f>
        <v>70.738</v>
      </c>
      <c r="D42" s="162" t="s">
        <v>252</v>
      </c>
      <c r="E42" s="169" t="str">
        <f>IF(Normalvärden!O23&gt;0,"Investeringskostnad enligt de schablonvärden som har tagits fram är "&amp;ROUND('Investering &amp; drift '!H5*$C$24,1)&amp;" för aktuell vägtyp","")</f>
        <v>Investeringskostnad enligt de schablonvärden som har tagits fram är 70,7 för aktuell vägtyp</v>
      </c>
      <c r="F42" s="169"/>
      <c r="G42" s="169"/>
      <c r="H42" s="169"/>
      <c r="I42" s="170"/>
      <c r="J42" s="171"/>
    </row>
    <row r="43" spans="1:10">
      <c r="A43" s="161"/>
      <c r="B43" s="172"/>
      <c r="C43" s="163"/>
      <c r="D43" s="172"/>
      <c r="E43" s="169" t="s">
        <v>220</v>
      </c>
      <c r="F43" s="169"/>
      <c r="G43" s="169"/>
      <c r="H43" s="169"/>
      <c r="I43" s="170"/>
      <c r="J43" s="171"/>
    </row>
    <row r="44" spans="1:10">
      <c r="A44" s="318"/>
      <c r="B44" s="172"/>
      <c r="C44" s="163"/>
      <c r="D44" s="172"/>
      <c r="E44" s="169"/>
      <c r="F44" s="169"/>
      <c r="G44" s="169"/>
      <c r="H44" s="169"/>
      <c r="I44" s="170"/>
      <c r="J44" s="171"/>
    </row>
    <row r="45" spans="1:10">
      <c r="A45" s="166" t="s">
        <v>708</v>
      </c>
      <c r="B45" s="175" t="s">
        <v>709</v>
      </c>
      <c r="C45" s="465" t="s">
        <v>820</v>
      </c>
      <c r="D45" s="162" t="s">
        <v>710</v>
      </c>
      <c r="E45" s="169" t="str">
        <f>"Prisnivå enligt anläggningskostnadskalkyl  är enligt schablon 2019-06."</f>
        <v>Prisnivå enligt anläggningskostnadskalkyl  är enligt schablon 2019-06.</v>
      </c>
      <c r="F45" s="169"/>
      <c r="G45" s="169"/>
      <c r="H45" s="169"/>
      <c r="I45" s="170"/>
      <c r="J45" s="171"/>
    </row>
    <row r="46" spans="1:10">
      <c r="A46" s="161"/>
      <c r="B46" s="172"/>
      <c r="C46" s="163"/>
      <c r="D46" s="172"/>
      <c r="E46" s="169"/>
      <c r="F46" s="169"/>
      <c r="G46" s="169"/>
      <c r="H46" s="169"/>
      <c r="I46" s="170"/>
      <c r="J46" s="171"/>
    </row>
    <row r="47" spans="1:10">
      <c r="A47" s="161"/>
      <c r="B47" s="172"/>
      <c r="C47" s="163"/>
      <c r="D47" s="172"/>
      <c r="E47" s="169"/>
      <c r="F47" s="169"/>
      <c r="G47" s="169"/>
      <c r="H47" s="169"/>
      <c r="I47" s="170"/>
      <c r="J47" s="171"/>
    </row>
    <row r="48" spans="1:10">
      <c r="A48" s="166" t="s">
        <v>706</v>
      </c>
      <c r="B48" s="175" t="s">
        <v>619</v>
      </c>
      <c r="C48" s="258">
        <f>'Investering &amp; drift '!J5*$C$24</f>
        <v>20.622500000000002</v>
      </c>
      <c r="D48" s="162" t="s">
        <v>252</v>
      </c>
      <c r="E48" s="169" t="str">
        <f>IF(Normalvärden!O23&gt;0,"Restvärdet år 2040 enligt de schablonvärden som har tagits fram är "&amp;ROUND('Investering &amp; drift '!J5*$C$24,1)&amp;" Mkr.","")</f>
        <v>Restvärdet år 2040 enligt de schablonvärden som har tagits fram är 20,6 Mkr.</v>
      </c>
      <c r="F48" s="169"/>
      <c r="G48" s="169"/>
      <c r="H48" s="169"/>
      <c r="I48" s="170"/>
      <c r="J48" s="171"/>
    </row>
    <row r="49" spans="1:13">
      <c r="A49" s="161"/>
      <c r="B49" s="172"/>
      <c r="C49" s="163"/>
      <c r="D49" s="172"/>
      <c r="E49" s="169"/>
      <c r="F49" s="169"/>
      <c r="G49" s="169"/>
      <c r="H49" s="169"/>
      <c r="I49" s="170"/>
      <c r="J49" s="171"/>
    </row>
    <row r="50" spans="1:13">
      <c r="A50" s="161"/>
      <c r="B50" s="172"/>
      <c r="C50" s="163"/>
      <c r="D50" s="172"/>
      <c r="E50" s="169"/>
      <c r="F50" s="169"/>
      <c r="G50" s="169"/>
      <c r="H50" s="169"/>
      <c r="I50" s="170"/>
      <c r="J50" s="171"/>
    </row>
    <row r="51" spans="1:13">
      <c r="A51" s="166" t="s">
        <v>325</v>
      </c>
      <c r="B51" s="175" t="s">
        <v>327</v>
      </c>
      <c r="C51" s="258">
        <f>'Investering &amp; drift '!I5*$C$24</f>
        <v>5.8760000000000003</v>
      </c>
      <c r="D51" s="162" t="s">
        <v>326</v>
      </c>
      <c r="E51" s="169" t="str">
        <f>IF(Normalvärden!O23&gt;0,"Driftskostnader enligt de schablonvärden som har tagits fram är "&amp;ROUND('Investering &amp; drift '!I5*$C$24,1)&amp;" för aktuell vägtyp","")</f>
        <v>Driftskostnader enligt de schablonvärden som har tagits fram är 5,9 för aktuell vägtyp</v>
      </c>
      <c r="F51" s="169"/>
      <c r="G51" s="169"/>
      <c r="H51" s="169"/>
      <c r="I51" s="170"/>
      <c r="J51" s="171"/>
    </row>
    <row r="52" spans="1:13">
      <c r="A52" s="161"/>
      <c r="B52" s="172"/>
      <c r="C52" s="163"/>
      <c r="D52" s="172"/>
      <c r="E52" s="169" t="s">
        <v>220</v>
      </c>
      <c r="F52" s="169"/>
      <c r="G52" s="169"/>
      <c r="H52" s="169"/>
      <c r="I52" s="170"/>
      <c r="J52" s="171"/>
    </row>
    <row r="53" spans="1:13">
      <c r="A53" s="161"/>
      <c r="B53" s="172"/>
      <c r="C53" s="163"/>
      <c r="D53" s="172"/>
      <c r="E53" s="169"/>
      <c r="F53" s="169"/>
      <c r="G53" s="169"/>
      <c r="H53" s="169"/>
      <c r="I53" s="170"/>
      <c r="J53" s="171"/>
    </row>
    <row r="54" spans="1:13">
      <c r="A54" s="184"/>
      <c r="B54" s="185"/>
      <c r="C54" s="204"/>
      <c r="D54" s="185"/>
      <c r="E54" s="205"/>
      <c r="F54" s="205"/>
      <c r="G54" s="205"/>
      <c r="H54" s="205"/>
      <c r="I54" s="206"/>
      <c r="J54" s="207"/>
    </row>
    <row r="55" spans="1:13">
      <c r="A55" s="211" t="s">
        <v>250</v>
      </c>
      <c r="B55" s="172"/>
      <c r="C55" s="163"/>
      <c r="D55" s="172"/>
      <c r="E55" s="169"/>
      <c r="F55" s="169"/>
      <c r="G55" s="169"/>
      <c r="H55" s="169"/>
      <c r="I55" s="170"/>
      <c r="J55" s="171"/>
    </row>
    <row r="56" spans="1:13">
      <c r="A56" s="161"/>
      <c r="B56" s="172"/>
      <c r="C56" s="163"/>
      <c r="D56" s="172"/>
      <c r="E56" s="169"/>
      <c r="F56" s="169"/>
      <c r="G56" s="169"/>
      <c r="H56" s="169"/>
      <c r="I56" s="170"/>
      <c r="J56" s="171"/>
    </row>
    <row r="57" spans="1:13">
      <c r="A57" s="166" t="s">
        <v>590</v>
      </c>
      <c r="B57" s="175" t="s">
        <v>247</v>
      </c>
      <c r="C57" s="258">
        <f>'Tät trafik'!B54</f>
        <v>4.0088356777571335</v>
      </c>
      <c r="D57" s="162" t="s">
        <v>244</v>
      </c>
      <c r="E57" s="169" t="str">
        <f>IF(Sekundärolyckor!B40&gt;0,"Frekvensen överbelastningar med sammanbrott/månad är "&amp;ROUND('Tät trafik'!B54,1)&amp;" för aktuell vägtyp och","")</f>
        <v>Frekvensen överbelastningar med sammanbrott/månad är 4 för aktuell vägtyp och</v>
      </c>
      <c r="F57" s="169"/>
      <c r="G57" s="169"/>
      <c r="H57" s="169"/>
      <c r="I57" s="170"/>
      <c r="J57" s="171"/>
      <c r="K57" s="182"/>
    </row>
    <row r="58" spans="1:13">
      <c r="A58" s="161"/>
      <c r="B58" s="172"/>
      <c r="C58" s="163"/>
      <c r="D58" s="172"/>
      <c r="E58" s="169" t="s">
        <v>591</v>
      </c>
      <c r="F58" s="169"/>
      <c r="G58" s="169"/>
      <c r="H58" s="169"/>
      <c r="I58" s="170"/>
      <c r="J58" s="171"/>
    </row>
    <row r="59" spans="1:13">
      <c r="A59" s="161"/>
      <c r="B59" s="172"/>
      <c r="C59" s="177"/>
      <c r="D59" s="178"/>
      <c r="E59" s="178"/>
      <c r="F59" s="178"/>
      <c r="G59" s="172"/>
      <c r="H59" s="172"/>
      <c r="I59" s="179"/>
      <c r="J59" s="180"/>
    </row>
    <row r="60" spans="1:13">
      <c r="A60" s="166" t="s">
        <v>291</v>
      </c>
      <c r="B60" s="175" t="s">
        <v>619</v>
      </c>
      <c r="C60" s="309">
        <f>'Investering &amp; drift '!K9*$C$24</f>
        <v>17.176000000000002</v>
      </c>
      <c r="D60" s="162" t="s">
        <v>252</v>
      </c>
      <c r="E60" s="169" t="str">
        <f>IF(Normalvärden!O23&gt;0,"Investeringskostnad enligt de schablonvärden som har tagits fram är "&amp;ROUND('Investering &amp; drift '!K9*$C$24,1)&amp;" för aktuell vägtyp","")</f>
        <v>Investeringskostnad enligt de schablonvärden som har tagits fram är 17,2 för aktuell vägtyp</v>
      </c>
      <c r="F60" s="172"/>
      <c r="G60" s="172"/>
      <c r="H60" s="172"/>
      <c r="I60" s="179"/>
      <c r="J60" s="180"/>
      <c r="M60" s="183"/>
    </row>
    <row r="61" spans="1:13">
      <c r="A61" s="161"/>
      <c r="B61" s="172"/>
      <c r="C61" s="163"/>
      <c r="D61" s="172"/>
      <c r="E61" s="169" t="s">
        <v>220</v>
      </c>
      <c r="F61" s="172"/>
      <c r="G61" s="172"/>
      <c r="H61" s="172"/>
      <c r="I61" s="179"/>
      <c r="J61" s="180"/>
    </row>
    <row r="62" spans="1:13">
      <c r="A62" s="161"/>
      <c r="B62" s="172"/>
      <c r="C62" s="163"/>
      <c r="D62" s="172"/>
      <c r="E62" s="169"/>
      <c r="F62" s="172"/>
      <c r="G62" s="172"/>
      <c r="H62" s="172"/>
      <c r="I62" s="179"/>
      <c r="J62" s="180"/>
    </row>
    <row r="63" spans="1:13">
      <c r="A63" s="166" t="s">
        <v>325</v>
      </c>
      <c r="B63" s="175" t="s">
        <v>327</v>
      </c>
      <c r="C63" s="258">
        <f>'Investering &amp; drift '!L9*$C$24</f>
        <v>1.1300000000000001</v>
      </c>
      <c r="D63" s="162" t="s">
        <v>326</v>
      </c>
      <c r="E63" s="169" t="str">
        <f>IF(Normalvärden!O23&gt;0,"Driftkostnader enligt de schablonvärden som har tagits fram är "&amp;ROUND('Investering &amp; drift '!L9*$C$24,1)&amp;" för aktuell vägtyp","")</f>
        <v>Driftkostnader enligt de schablonvärden som har tagits fram är 1,1 för aktuell vägtyp</v>
      </c>
      <c r="F63" s="172"/>
      <c r="G63" s="172"/>
      <c r="H63" s="172"/>
      <c r="I63" s="179"/>
      <c r="J63" s="180"/>
    </row>
    <row r="64" spans="1:13">
      <c r="A64" s="161"/>
      <c r="B64" s="172"/>
      <c r="C64" s="163"/>
      <c r="D64" s="172"/>
      <c r="E64" s="169" t="s">
        <v>220</v>
      </c>
      <c r="F64" s="172"/>
      <c r="G64" s="172"/>
      <c r="H64" s="172"/>
      <c r="I64" s="179"/>
      <c r="J64" s="180"/>
    </row>
    <row r="65" spans="1:10">
      <c r="A65" s="181"/>
      <c r="B65" s="172"/>
      <c r="C65" s="177"/>
      <c r="D65" s="172"/>
      <c r="E65" s="172"/>
      <c r="F65" s="172"/>
      <c r="G65" s="172"/>
      <c r="H65" s="172"/>
      <c r="I65" s="179"/>
      <c r="J65" s="180"/>
    </row>
    <row r="66" spans="1:10">
      <c r="A66" s="184"/>
      <c r="B66" s="185"/>
      <c r="C66" s="186"/>
      <c r="D66" s="185"/>
      <c r="E66" s="185"/>
      <c r="F66" s="185"/>
      <c r="G66" s="185"/>
      <c r="H66" s="185"/>
      <c r="I66" s="187"/>
      <c r="J66" s="188"/>
    </row>
    <row r="67" spans="1:10">
      <c r="A67" s="363" t="s">
        <v>294</v>
      </c>
      <c r="B67" s="172"/>
      <c r="C67" s="172"/>
      <c r="D67" s="172"/>
      <c r="E67" s="172"/>
      <c r="F67" s="172"/>
      <c r="G67" s="172"/>
      <c r="H67" s="172"/>
      <c r="I67" s="179"/>
      <c r="J67" s="180"/>
    </row>
    <row r="68" spans="1:10">
      <c r="A68" s="181"/>
      <c r="B68" s="172"/>
      <c r="C68" s="172"/>
      <c r="D68" s="172"/>
      <c r="E68" s="172"/>
      <c r="F68" s="172"/>
      <c r="G68" s="172"/>
      <c r="H68" s="172"/>
      <c r="I68" s="179"/>
      <c r="J68" s="180"/>
    </row>
    <row r="69" spans="1:10">
      <c r="A69" s="181" t="s">
        <v>330</v>
      </c>
      <c r="B69" s="172"/>
      <c r="C69" s="172" t="s">
        <v>490</v>
      </c>
      <c r="D69" s="172"/>
      <c r="E69" s="172" t="s">
        <v>829</v>
      </c>
      <c r="F69" s="172"/>
      <c r="G69" s="172"/>
      <c r="H69" s="172"/>
      <c r="I69" s="179"/>
      <c r="J69" s="180"/>
    </row>
    <row r="70" spans="1:10">
      <c r="A70" s="166" t="s">
        <v>329</v>
      </c>
      <c r="B70" s="172"/>
      <c r="C70" s="230">
        <f>'Samhällsekonomisk kalkyl'!H4</f>
        <v>52.331169439756422</v>
      </c>
      <c r="D70" s="162" t="s">
        <v>326</v>
      </c>
      <c r="E70" s="231">
        <f>'Samhällsekonomisk kalkyl'!J4</f>
        <v>1112.6320276369815</v>
      </c>
      <c r="F70" s="162" t="s">
        <v>252</v>
      </c>
      <c r="G70" s="172"/>
      <c r="H70" s="172"/>
      <c r="I70" s="179"/>
      <c r="J70" s="180"/>
    </row>
    <row r="71" spans="1:10">
      <c r="A71" s="181"/>
      <c r="B71" s="172"/>
      <c r="C71" s="172"/>
      <c r="D71" s="172"/>
      <c r="E71" s="172"/>
      <c r="F71" s="172"/>
      <c r="G71" s="172"/>
      <c r="H71" s="172"/>
      <c r="I71" s="179"/>
      <c r="J71" s="180"/>
    </row>
    <row r="72" spans="1:10">
      <c r="A72" s="166" t="s">
        <v>51</v>
      </c>
      <c r="B72" s="162"/>
      <c r="C72" s="230">
        <f>'Samhällsekonomisk kalkyl'!H5</f>
        <v>7.0526571099880684</v>
      </c>
      <c r="D72" s="162" t="s">
        <v>326</v>
      </c>
      <c r="E72" s="231">
        <f>'Samhällsekonomisk kalkyl'!J5</f>
        <v>149.94910804635981</v>
      </c>
      <c r="F72" s="162" t="s">
        <v>252</v>
      </c>
      <c r="G72" s="172"/>
      <c r="H72" s="172"/>
      <c r="I72" s="179"/>
      <c r="J72" s="180"/>
    </row>
    <row r="73" spans="1:10">
      <c r="A73" s="224"/>
      <c r="B73" s="162"/>
      <c r="C73" s="162"/>
      <c r="D73" s="162"/>
      <c r="E73" s="189"/>
      <c r="F73" s="172"/>
      <c r="G73" s="172"/>
      <c r="H73" s="172"/>
      <c r="I73" s="179"/>
      <c r="J73" s="180"/>
    </row>
    <row r="74" spans="1:10">
      <c r="A74" s="166" t="s">
        <v>132</v>
      </c>
      <c r="B74" s="162"/>
      <c r="C74" s="230">
        <f>'Samhällsekonomisk kalkyl'!H6</f>
        <v>1.1155707278585645</v>
      </c>
      <c r="D74" s="162" t="s">
        <v>326</v>
      </c>
      <c r="E74" s="231">
        <f>'Samhällsekonomisk kalkyl'!J6</f>
        <v>17.873259289773042</v>
      </c>
      <c r="F74" s="162" t="s">
        <v>252</v>
      </c>
      <c r="G74" s="172"/>
      <c r="H74" s="172"/>
      <c r="I74" s="179"/>
      <c r="J74" s="180"/>
    </row>
    <row r="75" spans="1:10">
      <c r="A75" s="224"/>
      <c r="B75" s="162"/>
      <c r="C75" s="189"/>
      <c r="D75" s="189"/>
      <c r="E75" s="189"/>
      <c r="F75" s="172"/>
      <c r="G75" s="172"/>
      <c r="H75" s="172"/>
      <c r="I75" s="179"/>
      <c r="J75" s="180"/>
    </row>
    <row r="76" spans="1:10">
      <c r="A76" s="181" t="s">
        <v>331</v>
      </c>
      <c r="B76" s="172"/>
      <c r="C76" s="172" t="s">
        <v>328</v>
      </c>
      <c r="D76" s="172"/>
      <c r="E76" s="172"/>
      <c r="F76" s="172"/>
      <c r="G76" s="172"/>
      <c r="H76" s="172"/>
      <c r="I76" s="179"/>
      <c r="J76" s="180"/>
    </row>
    <row r="77" spans="1:10">
      <c r="A77" s="166" t="s">
        <v>758</v>
      </c>
      <c r="B77" s="213"/>
      <c r="C77" s="216"/>
      <c r="D77" s="162"/>
      <c r="E77" s="231">
        <f>'Samhällsekonomisk kalkyl'!J11</f>
        <v>97.844509576883794</v>
      </c>
      <c r="F77" s="162" t="s">
        <v>252</v>
      </c>
      <c r="G77" s="213"/>
      <c r="H77" s="213"/>
      <c r="I77" s="214"/>
      <c r="J77" s="215"/>
    </row>
    <row r="78" spans="1:10">
      <c r="A78" s="224"/>
      <c r="B78" s="172"/>
      <c r="C78" s="172"/>
      <c r="D78" s="172"/>
      <c r="E78" s="172"/>
      <c r="F78" s="172"/>
      <c r="G78" s="172"/>
      <c r="H78" s="172"/>
      <c r="I78" s="179"/>
      <c r="J78" s="180"/>
    </row>
    <row r="79" spans="1:10">
      <c r="A79" s="166" t="s">
        <v>759</v>
      </c>
      <c r="B79" s="172"/>
      <c r="C79" s="230">
        <f>'Samhällsekonomisk kalkyl'!H9</f>
        <v>5.8760000000000003</v>
      </c>
      <c r="D79" s="162" t="s">
        <v>326</v>
      </c>
      <c r="E79" s="231">
        <f>'Samhällsekonomisk kalkyl'!J12</f>
        <v>122.38601251648122</v>
      </c>
      <c r="F79" s="162" t="s">
        <v>252</v>
      </c>
      <c r="G79" s="172"/>
      <c r="H79" s="172"/>
      <c r="I79" s="179"/>
      <c r="J79" s="180"/>
    </row>
    <row r="80" spans="1:10">
      <c r="A80" s="224"/>
      <c r="B80" s="172"/>
      <c r="C80" s="172"/>
      <c r="D80" s="172"/>
      <c r="E80" s="172"/>
      <c r="F80" s="172"/>
      <c r="G80" s="172"/>
      <c r="H80" s="172"/>
      <c r="I80" s="179"/>
      <c r="J80" s="180"/>
    </row>
    <row r="81" spans="1:10">
      <c r="A81" s="166" t="s">
        <v>148</v>
      </c>
      <c r="B81" s="172"/>
      <c r="C81" s="216"/>
      <c r="D81" s="172"/>
      <c r="E81" s="231">
        <f>'Samhällsekonomisk kalkyl'!J13</f>
        <v>1060.2238728797493</v>
      </c>
      <c r="F81" s="172"/>
      <c r="G81" s="515"/>
      <c r="H81" s="172"/>
      <c r="I81" s="179"/>
      <c r="J81" s="180"/>
    </row>
    <row r="82" spans="1:10">
      <c r="A82" s="166"/>
      <c r="B82" s="162"/>
      <c r="C82" s="160"/>
      <c r="D82" s="162"/>
      <c r="E82" s="189"/>
      <c r="F82" s="190"/>
      <c r="G82" s="172"/>
      <c r="H82" s="172"/>
      <c r="I82" s="179"/>
      <c r="J82" s="180"/>
    </row>
    <row r="83" spans="1:10">
      <c r="A83" s="181" t="s">
        <v>149</v>
      </c>
      <c r="B83" s="162"/>
      <c r="C83" s="162"/>
      <c r="D83" s="162"/>
      <c r="E83" s="232">
        <f>'Samhällsekonomisk kalkyl'!J14</f>
        <v>4.814155017215441</v>
      </c>
      <c r="F83" s="172"/>
      <c r="G83" s="172"/>
      <c r="H83"/>
      <c r="I83" s="179"/>
      <c r="J83" s="180"/>
    </row>
    <row r="84" spans="1:10">
      <c r="A84" s="166"/>
      <c r="B84" s="162"/>
      <c r="C84" s="162"/>
      <c r="D84" s="162"/>
      <c r="E84" s="189"/>
      <c r="F84" s="172"/>
      <c r="G84" s="172"/>
      <c r="H84" s="172"/>
      <c r="I84" s="179"/>
      <c r="J84" s="180"/>
    </row>
    <row r="85" spans="1:10">
      <c r="A85" s="348"/>
      <c r="B85" s="162"/>
      <c r="C85" s="162"/>
      <c r="D85" s="162"/>
      <c r="E85" s="189"/>
      <c r="F85" s="172"/>
      <c r="G85" s="172"/>
      <c r="H85" s="172"/>
      <c r="I85" s="179"/>
      <c r="J85" s="180"/>
    </row>
    <row r="86" spans="1:10">
      <c r="A86" s="166"/>
      <c r="B86" s="162"/>
      <c r="C86" s="162"/>
      <c r="D86" s="162"/>
      <c r="E86" s="189"/>
      <c r="F86" s="172"/>
      <c r="G86" s="172"/>
      <c r="H86" s="172"/>
      <c r="I86" s="179"/>
      <c r="J86" s="180"/>
    </row>
    <row r="87" spans="1:10">
      <c r="A87" s="166"/>
      <c r="B87" s="162"/>
      <c r="C87" s="162"/>
      <c r="D87" s="162"/>
      <c r="E87" s="189"/>
      <c r="F87" s="172"/>
      <c r="G87" s="172"/>
      <c r="H87" s="172"/>
      <c r="I87" s="179"/>
      <c r="J87" s="180"/>
    </row>
    <row r="88" spans="1:10">
      <c r="A88" s="166"/>
      <c r="B88" s="162"/>
      <c r="C88" s="162"/>
      <c r="D88" s="162"/>
      <c r="E88" s="189"/>
      <c r="F88" s="172"/>
      <c r="G88" s="172"/>
      <c r="H88" s="172"/>
      <c r="I88" s="179"/>
      <c r="J88" s="180"/>
    </row>
    <row r="89" spans="1:10">
      <c r="A89" s="166"/>
      <c r="B89" s="162"/>
      <c r="C89" s="162"/>
      <c r="D89" s="162"/>
      <c r="E89" s="189"/>
      <c r="F89" s="172"/>
      <c r="G89" s="172"/>
      <c r="H89" s="172"/>
      <c r="I89" s="179"/>
      <c r="J89" s="180"/>
    </row>
    <row r="90" spans="1:10">
      <c r="A90" s="166"/>
      <c r="B90" s="162"/>
      <c r="C90" s="162"/>
      <c r="D90" s="162"/>
      <c r="E90" s="189"/>
      <c r="F90" s="172"/>
      <c r="G90" s="172"/>
      <c r="H90" s="172"/>
      <c r="I90" s="179"/>
      <c r="J90" s="180"/>
    </row>
    <row r="91" spans="1:10">
      <c r="A91" s="166"/>
      <c r="B91" s="162"/>
      <c r="C91" s="162"/>
      <c r="D91" s="162"/>
      <c r="E91" s="189"/>
      <c r="F91" s="172"/>
      <c r="G91" s="172"/>
      <c r="H91" s="172"/>
      <c r="I91" s="179"/>
      <c r="J91" s="180"/>
    </row>
    <row r="92" spans="1:10">
      <c r="A92" s="166"/>
      <c r="B92" s="162"/>
      <c r="C92" s="162"/>
      <c r="D92" s="162"/>
      <c r="E92" s="189"/>
      <c r="F92" s="172"/>
      <c r="G92" s="172"/>
      <c r="H92" s="172"/>
      <c r="I92" s="179"/>
      <c r="J92" s="180"/>
    </row>
    <row r="93" spans="1:10">
      <c r="A93" s="166"/>
      <c r="B93" s="162"/>
      <c r="C93" s="162"/>
      <c r="D93" s="162"/>
      <c r="E93" s="189"/>
      <c r="F93" s="172"/>
      <c r="G93" s="172"/>
      <c r="H93" s="172"/>
      <c r="I93" s="179"/>
      <c r="J93" s="180"/>
    </row>
    <row r="94" spans="1:10">
      <c r="A94" s="166"/>
      <c r="B94" s="162"/>
      <c r="C94" s="162"/>
      <c r="D94" s="162"/>
      <c r="E94" s="189"/>
      <c r="F94" s="172"/>
      <c r="G94" s="172"/>
      <c r="H94" s="172"/>
      <c r="I94" s="179"/>
      <c r="J94" s="180"/>
    </row>
    <row r="95" spans="1:10">
      <c r="A95" s="166"/>
      <c r="B95" s="162"/>
      <c r="C95" s="162"/>
      <c r="D95" s="162"/>
      <c r="E95" s="189"/>
      <c r="F95" s="172"/>
      <c r="G95" s="172"/>
      <c r="H95" s="172"/>
      <c r="I95" s="179"/>
      <c r="J95" s="180"/>
    </row>
    <row r="96" spans="1:10">
      <c r="A96" s="166"/>
      <c r="B96" s="162"/>
      <c r="C96" s="162"/>
      <c r="D96" s="162"/>
      <c r="E96" s="189"/>
      <c r="F96" s="172"/>
      <c r="G96" s="172"/>
      <c r="H96" s="172"/>
      <c r="I96" s="179"/>
      <c r="J96" s="180"/>
    </row>
    <row r="97" spans="1:10">
      <c r="A97" s="166"/>
      <c r="B97" s="162"/>
      <c r="C97" s="162"/>
      <c r="D97" s="162"/>
      <c r="E97" s="189"/>
      <c r="F97" s="172"/>
      <c r="G97" s="172"/>
      <c r="H97" s="172"/>
      <c r="I97" s="179"/>
      <c r="J97" s="180"/>
    </row>
    <row r="98" spans="1:10">
      <c r="A98" s="166"/>
      <c r="B98" s="162"/>
      <c r="C98" s="162"/>
      <c r="D98" s="162"/>
      <c r="E98" s="189"/>
      <c r="F98" s="172"/>
      <c r="G98" s="172"/>
      <c r="H98" s="172"/>
      <c r="I98" s="179"/>
      <c r="J98" s="180"/>
    </row>
    <row r="99" spans="1:10">
      <c r="A99" s="166"/>
      <c r="B99" s="162"/>
      <c r="C99" s="162"/>
      <c r="D99" s="162"/>
      <c r="E99" s="189"/>
      <c r="F99" s="172"/>
      <c r="G99" s="172"/>
      <c r="H99" s="172"/>
      <c r="I99" s="179"/>
      <c r="J99" s="180"/>
    </row>
    <row r="100" spans="1:10">
      <c r="A100" s="166"/>
      <c r="B100" s="162"/>
      <c r="C100" s="162"/>
      <c r="D100" s="162"/>
      <c r="E100" s="189"/>
      <c r="F100" s="172"/>
      <c r="G100" s="172"/>
      <c r="H100" s="172"/>
      <c r="I100" s="179"/>
      <c r="J100" s="180"/>
    </row>
    <row r="101" spans="1:10">
      <c r="A101" s="166"/>
      <c r="B101" s="162"/>
      <c r="C101" s="162"/>
      <c r="D101" s="162"/>
      <c r="E101" s="189"/>
      <c r="F101" s="172"/>
      <c r="G101" s="172"/>
      <c r="H101" s="172"/>
      <c r="I101" s="179"/>
      <c r="J101" s="180"/>
    </row>
    <row r="102" spans="1:10">
      <c r="A102" s="166"/>
      <c r="B102" s="162"/>
      <c r="C102" s="162"/>
      <c r="D102" s="162"/>
      <c r="E102" s="189"/>
      <c r="F102" s="172"/>
      <c r="G102" s="172"/>
      <c r="H102" s="172"/>
      <c r="I102" s="179"/>
      <c r="J102" s="180"/>
    </row>
    <row r="103" spans="1:10">
      <c r="A103" s="166"/>
      <c r="B103" s="162"/>
      <c r="C103" s="162"/>
      <c r="D103" s="162"/>
      <c r="E103" s="189"/>
      <c r="F103" s="172"/>
      <c r="G103" s="172"/>
      <c r="H103" s="172"/>
      <c r="I103" s="179"/>
      <c r="J103" s="180"/>
    </row>
    <row r="104" spans="1:10">
      <c r="A104" s="166"/>
      <c r="B104" s="162"/>
      <c r="C104" s="162"/>
      <c r="D104" s="162"/>
      <c r="E104" s="189"/>
      <c r="F104" s="172"/>
      <c r="G104" s="172"/>
      <c r="H104" s="172"/>
      <c r="I104" s="179"/>
      <c r="J104" s="180"/>
    </row>
    <row r="105" spans="1:10">
      <c r="A105" s="166"/>
      <c r="B105" s="162"/>
      <c r="C105" s="162"/>
      <c r="D105" s="162"/>
      <c r="E105" s="189"/>
      <c r="F105" s="172"/>
      <c r="G105" s="172"/>
      <c r="H105" s="172"/>
      <c r="I105" s="179"/>
      <c r="J105" s="180"/>
    </row>
    <row r="106" spans="1:10">
      <c r="A106" s="166"/>
      <c r="B106" s="162"/>
      <c r="C106" s="162"/>
      <c r="D106" s="162"/>
      <c r="E106" s="189"/>
      <c r="F106" s="172"/>
      <c r="G106" s="172"/>
      <c r="H106" s="172"/>
      <c r="I106" s="179"/>
      <c r="J106" s="180"/>
    </row>
    <row r="107" spans="1:10">
      <c r="A107" s="166"/>
      <c r="B107" s="162"/>
      <c r="C107" s="162"/>
      <c r="D107" s="162"/>
      <c r="E107" s="189"/>
      <c r="F107" s="172"/>
      <c r="G107" s="172"/>
      <c r="H107" s="172"/>
      <c r="I107" s="179"/>
      <c r="J107" s="180"/>
    </row>
    <row r="108" spans="1:10">
      <c r="A108" s="166"/>
      <c r="B108" s="162"/>
      <c r="C108" s="162"/>
      <c r="D108" s="162"/>
      <c r="E108" s="189"/>
      <c r="F108" s="172"/>
      <c r="G108" s="172"/>
      <c r="H108" s="172"/>
      <c r="I108" s="179"/>
      <c r="J108" s="180"/>
    </row>
    <row r="109" spans="1:10">
      <c r="A109" s="166"/>
      <c r="B109" s="162"/>
      <c r="C109" s="162"/>
      <c r="D109" s="162"/>
      <c r="E109" s="189"/>
      <c r="F109" s="172"/>
      <c r="G109" s="172"/>
      <c r="H109" s="172"/>
      <c r="I109" s="179"/>
      <c r="J109" s="180"/>
    </row>
    <row r="110" spans="1:10">
      <c r="A110" s="166"/>
      <c r="B110" s="162"/>
      <c r="C110" s="162"/>
      <c r="D110" s="162"/>
      <c r="E110" s="189"/>
      <c r="F110" s="172"/>
      <c r="G110" s="172"/>
      <c r="H110" s="172"/>
      <c r="I110" s="179"/>
      <c r="J110" s="180"/>
    </row>
    <row r="111" spans="1:10">
      <c r="A111" s="166"/>
      <c r="B111" s="162"/>
      <c r="C111" s="162"/>
      <c r="D111" s="162"/>
      <c r="E111" s="189"/>
      <c r="F111" s="172"/>
      <c r="G111" s="172"/>
      <c r="H111" s="172"/>
      <c r="I111" s="179"/>
      <c r="J111" s="180"/>
    </row>
    <row r="112" spans="1:10">
      <c r="A112" s="166"/>
      <c r="B112" s="162"/>
      <c r="C112" s="162"/>
      <c r="D112" s="162"/>
      <c r="E112" s="172"/>
      <c r="F112" s="172"/>
      <c r="G112" s="172"/>
      <c r="H112" s="172"/>
      <c r="I112" s="179"/>
      <c r="J112" s="180"/>
    </row>
    <row r="113" spans="1:10">
      <c r="A113" s="225"/>
      <c r="B113" s="226"/>
      <c r="C113" s="227"/>
      <c r="D113" s="226"/>
      <c r="E113" s="192"/>
      <c r="F113" s="192"/>
      <c r="G113" s="192"/>
      <c r="H113" s="192"/>
      <c r="I113" s="228"/>
      <c r="J113" s="193"/>
    </row>
    <row r="114" spans="1:10">
      <c r="A114" s="184"/>
      <c r="B114" s="185"/>
      <c r="C114" s="185"/>
      <c r="D114" s="185"/>
      <c r="E114" s="185"/>
      <c r="F114" s="185"/>
      <c r="G114" s="185"/>
      <c r="H114" s="185"/>
      <c r="I114" s="187"/>
      <c r="J114" s="188"/>
    </row>
    <row r="115" spans="1:10">
      <c r="A115" s="364" t="s">
        <v>298</v>
      </c>
      <c r="B115" s="172"/>
      <c r="C115" s="172"/>
      <c r="D115" s="172"/>
      <c r="E115" s="172"/>
      <c r="F115" s="172"/>
      <c r="G115" s="172"/>
      <c r="H115" s="172"/>
      <c r="I115" s="179"/>
      <c r="J115" s="180"/>
    </row>
    <row r="116" spans="1:10">
      <c r="A116" s="220"/>
      <c r="B116" s="217"/>
      <c r="C116" s="218"/>
      <c r="D116" s="217"/>
      <c r="E116" s="217"/>
      <c r="F116" s="217"/>
      <c r="G116" s="217"/>
      <c r="H116" s="217"/>
      <c r="I116" s="219"/>
      <c r="J116" s="221"/>
    </row>
    <row r="117" spans="1:10">
      <c r="A117" s="181" t="s">
        <v>330</v>
      </c>
      <c r="B117" s="172"/>
      <c r="C117" s="172" t="s">
        <v>490</v>
      </c>
      <c r="D117" s="172"/>
      <c r="E117" s="172" t="s">
        <v>829</v>
      </c>
      <c r="F117" s="172"/>
      <c r="G117" s="172"/>
      <c r="H117" s="190"/>
      <c r="I117" s="179"/>
      <c r="J117" s="180"/>
    </row>
    <row r="118" spans="1:10">
      <c r="A118" s="166" t="s">
        <v>329</v>
      </c>
      <c r="B118" s="172"/>
      <c r="C118" s="230">
        <f>'Samhällsekonomisk kalkyl'!O4</f>
        <v>5.9770210007481586</v>
      </c>
      <c r="D118" s="162" t="s">
        <v>326</v>
      </c>
      <c r="E118" s="231">
        <f>'Samhällsekonomisk kalkyl'!Q4</f>
        <v>127.0796174915788</v>
      </c>
      <c r="F118" s="162" t="s">
        <v>252</v>
      </c>
      <c r="G118" s="172"/>
      <c r="H118" s="190"/>
      <c r="I118" s="179"/>
      <c r="J118" s="180"/>
    </row>
    <row r="119" spans="1:10">
      <c r="A119" s="181"/>
      <c r="B119" s="172"/>
      <c r="C119" s="172"/>
      <c r="D119" s="172"/>
      <c r="E119" s="172"/>
      <c r="F119" s="172"/>
      <c r="G119" s="172"/>
      <c r="H119" s="190"/>
      <c r="I119" s="179"/>
      <c r="J119" s="180"/>
    </row>
    <row r="120" spans="1:10">
      <c r="A120" s="166" t="s">
        <v>51</v>
      </c>
      <c r="B120" s="162"/>
      <c r="C120" s="230">
        <f>'Samhällsekonomisk kalkyl'!O5</f>
        <v>1.4123285826832539</v>
      </c>
      <c r="D120" s="162" t="s">
        <v>326</v>
      </c>
      <c r="E120" s="231">
        <f>'Samhällsekonomisk kalkyl'!Q5</f>
        <v>30.028031696282447</v>
      </c>
      <c r="F120" s="162" t="s">
        <v>252</v>
      </c>
      <c r="G120" s="172"/>
      <c r="H120" s="189"/>
      <c r="I120" s="189"/>
      <c r="J120" s="180"/>
    </row>
    <row r="121" spans="1:10">
      <c r="A121" s="224"/>
      <c r="B121" s="162"/>
      <c r="C121" s="162"/>
      <c r="D121" s="162"/>
      <c r="E121" s="189"/>
      <c r="F121" s="172"/>
      <c r="G121" s="172"/>
      <c r="H121" s="189"/>
      <c r="I121" s="189"/>
      <c r="J121" s="180"/>
    </row>
    <row r="122" spans="1:10">
      <c r="A122" s="166" t="s">
        <v>132</v>
      </c>
      <c r="B122" s="162"/>
      <c r="C122" s="230">
        <f>'Samhällsekonomisk kalkyl'!O6</f>
        <v>2.5935628649334066</v>
      </c>
      <c r="D122" s="162" t="s">
        <v>326</v>
      </c>
      <c r="E122" s="231">
        <f>'Samhällsekonomisk kalkyl'!Q6</f>
        <v>41.553099603343554</v>
      </c>
      <c r="F122" s="162" t="s">
        <v>252</v>
      </c>
      <c r="G122" s="172"/>
      <c r="H122" s="189"/>
      <c r="I122" s="189"/>
      <c r="J122" s="180"/>
    </row>
    <row r="123" spans="1:10">
      <c r="A123" s="224"/>
      <c r="B123" s="162"/>
      <c r="C123" s="189"/>
      <c r="D123" s="189"/>
      <c r="E123" s="189"/>
      <c r="F123" s="172"/>
      <c r="G123" s="172"/>
      <c r="H123" s="189"/>
      <c r="I123" s="189"/>
      <c r="J123" s="180"/>
    </row>
    <row r="124" spans="1:10">
      <c r="A124" s="181" t="s">
        <v>331</v>
      </c>
      <c r="B124" s="172"/>
      <c r="C124" s="172" t="s">
        <v>328</v>
      </c>
      <c r="D124" s="172"/>
      <c r="E124" s="172"/>
      <c r="F124" s="172"/>
      <c r="G124" s="172"/>
      <c r="H124" s="189"/>
      <c r="I124" s="189"/>
      <c r="J124" s="180"/>
    </row>
    <row r="125" spans="1:10">
      <c r="A125" s="166" t="s">
        <v>758</v>
      </c>
      <c r="B125" s="213"/>
      <c r="C125" s="216"/>
      <c r="D125" s="162"/>
      <c r="E125" s="231">
        <f>'Samhällsekonomisk kalkyl'!Q11</f>
        <v>23.757772293428655</v>
      </c>
      <c r="F125" s="162" t="s">
        <v>252</v>
      </c>
      <c r="G125" s="213"/>
      <c r="H125" s="189"/>
      <c r="I125" s="189"/>
      <c r="J125" s="180"/>
    </row>
    <row r="126" spans="1:10">
      <c r="A126" s="224"/>
      <c r="B126" s="172"/>
      <c r="C126" s="172"/>
      <c r="D126" s="172"/>
      <c r="E126" s="172"/>
      <c r="F126" s="172"/>
      <c r="G126" s="172"/>
      <c r="H126" s="189"/>
      <c r="I126" s="189"/>
      <c r="J126" s="180"/>
    </row>
    <row r="127" spans="1:10">
      <c r="A127" s="166" t="s">
        <v>759</v>
      </c>
      <c r="B127" s="172"/>
      <c r="C127" s="230">
        <f>'Samhällsekonomisk kalkyl'!O9</f>
        <v>1.1300000000000001</v>
      </c>
      <c r="D127" s="162" t="s">
        <v>326</v>
      </c>
      <c r="E127" s="231">
        <f>'Samhällsekonomisk kalkyl'!Q12</f>
        <v>23.535771637784848</v>
      </c>
      <c r="F127" s="162" t="s">
        <v>252</v>
      </c>
      <c r="G127" s="172"/>
      <c r="H127" s="189"/>
      <c r="I127" s="189"/>
      <c r="J127" s="180"/>
    </row>
    <row r="128" spans="1:10">
      <c r="A128" s="224"/>
      <c r="B128" s="172"/>
      <c r="C128" s="172"/>
      <c r="D128" s="172"/>
      <c r="E128" s="172"/>
      <c r="F128" s="172"/>
      <c r="G128" s="172"/>
      <c r="H128" s="189"/>
      <c r="I128" s="189"/>
      <c r="J128" s="180"/>
    </row>
    <row r="129" spans="1:10">
      <c r="A129" s="166" t="s">
        <v>148</v>
      </c>
      <c r="B129" s="172"/>
      <c r="C129" s="216"/>
      <c r="D129" s="172"/>
      <c r="E129" s="231">
        <f>'Samhällsekonomisk kalkyl'!Q13</f>
        <v>151.36720485999132</v>
      </c>
      <c r="F129" s="172"/>
      <c r="G129" s="515"/>
      <c r="H129" s="189"/>
      <c r="I129" s="189"/>
      <c r="J129" s="180"/>
    </row>
    <row r="130" spans="1:10">
      <c r="A130" s="166"/>
      <c r="B130" s="162"/>
      <c r="C130" s="160"/>
      <c r="D130" s="162"/>
      <c r="E130" s="189"/>
      <c r="F130" s="190"/>
      <c r="G130" s="172"/>
      <c r="H130" s="189"/>
      <c r="I130" s="189"/>
      <c r="J130" s="180"/>
    </row>
    <row r="131" spans="1:10">
      <c r="A131" s="181" t="s">
        <v>149</v>
      </c>
      <c r="B131" s="162"/>
      <c r="C131" s="162"/>
      <c r="D131" s="162"/>
      <c r="E131" s="232">
        <f>'Samhällsekonomisk kalkyl'!Q14</f>
        <v>3.2005891772489838</v>
      </c>
      <c r="F131" s="172"/>
      <c r="G131" s="172"/>
      <c r="H131" s="189"/>
      <c r="I131" s="189"/>
      <c r="J131" s="180"/>
    </row>
    <row r="132" spans="1:10">
      <c r="A132" s="161"/>
      <c r="B132" s="189"/>
      <c r="C132" s="189"/>
      <c r="D132" s="189"/>
      <c r="E132" s="189"/>
      <c r="F132" s="189"/>
      <c r="G132" s="172"/>
      <c r="H132" s="189"/>
      <c r="I132" s="189"/>
      <c r="J132" s="180"/>
    </row>
    <row r="133" spans="1:10">
      <c r="A133" s="318"/>
      <c r="B133" s="189"/>
      <c r="C133" s="189"/>
      <c r="D133" s="189"/>
      <c r="E133" s="189"/>
      <c r="F133" s="189"/>
      <c r="G133" s="189"/>
      <c r="H133" s="189"/>
      <c r="I133" s="189"/>
      <c r="J133" s="180"/>
    </row>
    <row r="134" spans="1:10">
      <c r="A134" s="161"/>
      <c r="B134" s="189"/>
      <c r="C134" s="189"/>
      <c r="D134" s="189"/>
      <c r="E134" s="189"/>
      <c r="F134" s="189"/>
      <c r="G134" s="189"/>
      <c r="H134" s="189"/>
      <c r="I134" s="189"/>
      <c r="J134" s="180"/>
    </row>
    <row r="135" spans="1:10">
      <c r="A135" s="161"/>
      <c r="B135" s="189"/>
      <c r="C135" s="189"/>
      <c r="D135" s="189"/>
      <c r="E135" s="189"/>
      <c r="F135" s="189"/>
      <c r="G135" s="189"/>
      <c r="H135" s="189"/>
      <c r="I135" s="189"/>
      <c r="J135" s="180"/>
    </row>
    <row r="136" spans="1:10">
      <c r="A136" s="161"/>
      <c r="B136" s="189"/>
      <c r="C136" s="189"/>
      <c r="D136" s="189"/>
      <c r="E136" s="189"/>
      <c r="F136" s="189"/>
      <c r="G136" s="189"/>
      <c r="H136" s="189"/>
      <c r="I136" s="189"/>
      <c r="J136" s="180"/>
    </row>
    <row r="137" spans="1:10">
      <c r="A137" s="161"/>
      <c r="B137" s="189"/>
      <c r="C137" s="189"/>
      <c r="D137" s="189"/>
      <c r="E137" s="189"/>
      <c r="F137" s="189"/>
      <c r="G137" s="189"/>
      <c r="H137" s="189"/>
      <c r="I137" s="189"/>
      <c r="J137" s="180"/>
    </row>
    <row r="138" spans="1:10">
      <c r="A138" s="161"/>
      <c r="B138" s="189"/>
      <c r="C138" s="189"/>
      <c r="D138" s="189"/>
      <c r="E138" s="189"/>
      <c r="F138" s="189"/>
      <c r="G138" s="189"/>
      <c r="H138" s="189"/>
      <c r="I138" s="189"/>
      <c r="J138" s="180"/>
    </row>
    <row r="139" spans="1:10">
      <c r="A139" s="161"/>
      <c r="B139" s="189"/>
      <c r="C139" s="189"/>
      <c r="D139" s="189"/>
      <c r="E139" s="189"/>
      <c r="F139" s="189"/>
      <c r="G139" s="189"/>
      <c r="H139" s="189"/>
      <c r="I139" s="189"/>
      <c r="J139" s="180"/>
    </row>
    <row r="140" spans="1:10">
      <c r="A140" s="161"/>
      <c r="B140" s="189"/>
      <c r="C140" s="189"/>
      <c r="D140" s="189"/>
      <c r="E140" s="189"/>
      <c r="F140" s="189"/>
      <c r="G140" s="189"/>
      <c r="H140" s="189"/>
      <c r="I140" s="189"/>
      <c r="J140" s="180"/>
    </row>
    <row r="141" spans="1:10">
      <c r="A141" s="161"/>
      <c r="B141" s="189"/>
      <c r="C141" s="189"/>
      <c r="D141" s="189"/>
      <c r="E141" s="189"/>
      <c r="F141" s="189"/>
      <c r="G141" s="189"/>
      <c r="H141" s="189"/>
      <c r="I141" s="189"/>
      <c r="J141" s="180"/>
    </row>
    <row r="142" spans="1:10">
      <c r="A142" s="161"/>
      <c r="B142" s="189"/>
      <c r="C142" s="189"/>
      <c r="D142" s="189"/>
      <c r="E142" s="189"/>
      <c r="F142" s="189"/>
      <c r="G142" s="189"/>
      <c r="H142" s="189"/>
      <c r="I142" s="189"/>
      <c r="J142" s="180"/>
    </row>
    <row r="143" spans="1:10">
      <c r="A143" s="161"/>
      <c r="B143" s="189"/>
      <c r="C143" s="189"/>
      <c r="D143" s="189"/>
      <c r="E143" s="189"/>
      <c r="F143" s="189"/>
      <c r="G143" s="189"/>
      <c r="H143" s="189"/>
      <c r="I143" s="189"/>
      <c r="J143" s="180"/>
    </row>
    <row r="144" spans="1:10">
      <c r="A144" s="161"/>
      <c r="B144" s="189"/>
      <c r="C144" s="189"/>
      <c r="D144" s="189"/>
      <c r="E144" s="189"/>
      <c r="F144" s="189"/>
      <c r="G144" s="189"/>
      <c r="H144" s="189"/>
      <c r="I144" s="189"/>
      <c r="J144" s="180"/>
    </row>
    <row r="145" spans="1:10">
      <c r="A145" s="161"/>
      <c r="B145" s="189"/>
      <c r="C145" s="189"/>
      <c r="D145" s="189"/>
      <c r="E145" s="189"/>
      <c r="F145" s="189"/>
      <c r="G145" s="189"/>
      <c r="H145" s="189"/>
      <c r="I145" s="189"/>
      <c r="J145" s="180"/>
    </row>
    <row r="146" spans="1:10">
      <c r="A146" s="161"/>
      <c r="B146" s="189"/>
      <c r="C146" s="189"/>
      <c r="D146" s="189"/>
      <c r="E146" s="189"/>
      <c r="F146" s="189"/>
      <c r="G146" s="189"/>
      <c r="H146" s="189"/>
      <c r="I146" s="189"/>
      <c r="J146" s="180"/>
    </row>
    <row r="147" spans="1:10">
      <c r="A147" s="161"/>
      <c r="B147" s="189"/>
      <c r="C147" s="189"/>
      <c r="D147" s="189"/>
      <c r="E147" s="189"/>
      <c r="F147" s="189"/>
      <c r="G147" s="189"/>
      <c r="H147" s="189"/>
      <c r="I147" s="189"/>
      <c r="J147" s="180"/>
    </row>
    <row r="148" spans="1:10">
      <c r="A148" s="161"/>
      <c r="B148" s="189"/>
      <c r="C148" s="189"/>
      <c r="D148" s="189"/>
      <c r="E148" s="189"/>
      <c r="F148" s="189"/>
      <c r="G148" s="189"/>
      <c r="H148" s="189"/>
      <c r="I148" s="189"/>
      <c r="J148" s="180"/>
    </row>
    <row r="149" spans="1:10">
      <c r="A149" s="161"/>
      <c r="B149" s="189"/>
      <c r="C149" s="189"/>
      <c r="D149" s="189"/>
      <c r="E149" s="189"/>
      <c r="F149" s="189"/>
      <c r="G149" s="189"/>
      <c r="H149" s="189"/>
      <c r="I149" s="189"/>
      <c r="J149" s="180"/>
    </row>
    <row r="150" spans="1:10">
      <c r="A150" s="161"/>
      <c r="B150" s="189"/>
      <c r="C150" s="189"/>
      <c r="D150" s="189"/>
      <c r="E150" s="189"/>
      <c r="F150" s="189"/>
      <c r="G150" s="189"/>
      <c r="H150" s="189"/>
      <c r="I150" s="189"/>
      <c r="J150" s="180"/>
    </row>
    <row r="151" spans="1:10">
      <c r="A151" s="161"/>
      <c r="B151" s="189"/>
      <c r="C151" s="189"/>
      <c r="D151" s="189"/>
      <c r="E151" s="189"/>
      <c r="F151" s="189"/>
      <c r="G151" s="189"/>
      <c r="H151" s="189"/>
      <c r="I151" s="189"/>
      <c r="J151" s="180"/>
    </row>
    <row r="152" spans="1:10">
      <c r="A152" s="161"/>
      <c r="B152" s="189"/>
      <c r="C152" s="189"/>
      <c r="D152" s="189"/>
      <c r="E152" s="189"/>
      <c r="F152" s="189"/>
      <c r="G152" s="189"/>
      <c r="H152" s="189"/>
      <c r="I152" s="189"/>
      <c r="J152" s="180"/>
    </row>
    <row r="153" spans="1:10">
      <c r="A153" s="161"/>
      <c r="B153" s="189"/>
      <c r="C153" s="189"/>
      <c r="D153" s="189"/>
      <c r="E153" s="189"/>
      <c r="F153" s="189"/>
      <c r="G153" s="189"/>
      <c r="H153" s="189"/>
      <c r="I153" s="189"/>
      <c r="J153" s="180"/>
    </row>
    <row r="154" spans="1:10">
      <c r="A154" s="161"/>
      <c r="B154" s="189"/>
      <c r="C154" s="189"/>
      <c r="D154" s="189"/>
      <c r="E154" s="189"/>
      <c r="F154" s="189"/>
      <c r="G154" s="189"/>
      <c r="H154" s="189"/>
      <c r="I154" s="189"/>
      <c r="J154" s="180"/>
    </row>
    <row r="155" spans="1:10">
      <c r="A155" s="161"/>
      <c r="B155" s="189"/>
      <c r="C155" s="189"/>
      <c r="D155" s="189"/>
      <c r="E155" s="189"/>
      <c r="F155" s="189"/>
      <c r="G155" s="189"/>
      <c r="H155" s="189"/>
      <c r="I155" s="189"/>
      <c r="J155" s="180"/>
    </row>
    <row r="156" spans="1:10">
      <c r="A156" s="161"/>
      <c r="B156" s="189"/>
      <c r="C156" s="189"/>
      <c r="D156" s="189"/>
      <c r="E156" s="189"/>
      <c r="F156" s="189"/>
      <c r="G156" s="189"/>
      <c r="H156" s="189"/>
      <c r="I156" s="189"/>
      <c r="J156" s="180"/>
    </row>
    <row r="157" spans="1:10">
      <c r="A157" s="161"/>
      <c r="B157" s="189"/>
      <c r="C157" s="189"/>
      <c r="D157" s="189"/>
      <c r="E157" s="189"/>
      <c r="F157" s="189"/>
      <c r="G157" s="189"/>
      <c r="H157" s="189"/>
      <c r="I157" s="189"/>
      <c r="J157" s="180"/>
    </row>
    <row r="158" spans="1:10">
      <c r="A158" s="161"/>
      <c r="B158" s="189"/>
      <c r="C158" s="189"/>
      <c r="D158" s="189"/>
      <c r="E158" s="189"/>
      <c r="F158" s="189"/>
      <c r="G158" s="189"/>
      <c r="H158" s="189"/>
      <c r="I158" s="189"/>
      <c r="J158" s="180"/>
    </row>
    <row r="159" spans="1:10">
      <c r="A159" s="161"/>
      <c r="B159" s="189"/>
      <c r="C159" s="189"/>
      <c r="D159" s="189"/>
      <c r="E159" s="189"/>
      <c r="F159" s="189"/>
      <c r="G159" s="189"/>
      <c r="H159" s="189"/>
      <c r="I159" s="189"/>
      <c r="J159" s="180"/>
    </row>
    <row r="160" spans="1:10">
      <c r="A160" s="161"/>
      <c r="B160" s="189"/>
      <c r="C160" s="189"/>
      <c r="D160" s="189"/>
      <c r="E160" s="189"/>
      <c r="F160" s="189"/>
      <c r="G160" s="189"/>
      <c r="H160" s="189"/>
      <c r="I160" s="189"/>
      <c r="J160" s="180"/>
    </row>
    <row r="161" spans="1:10">
      <c r="A161" s="229"/>
      <c r="B161" s="189"/>
      <c r="C161" s="189"/>
      <c r="D161" s="189"/>
      <c r="E161" s="189"/>
      <c r="F161" s="189"/>
      <c r="G161" s="189"/>
      <c r="H161" s="189"/>
      <c r="I161" s="189"/>
      <c r="J161" s="180"/>
    </row>
    <row r="162" spans="1:10">
      <c r="A162" s="184"/>
      <c r="B162" s="185"/>
      <c r="C162" s="185"/>
      <c r="D162" s="185"/>
      <c r="E162" s="185"/>
      <c r="F162" s="185"/>
      <c r="G162" s="185"/>
      <c r="H162" s="185"/>
      <c r="I162" s="187"/>
      <c r="J162" s="188"/>
    </row>
    <row r="163" spans="1:10">
      <c r="A163" s="211" t="s">
        <v>299</v>
      </c>
      <c r="B163" s="172"/>
      <c r="C163" s="172"/>
      <c r="D163" s="172"/>
      <c r="E163" s="172"/>
      <c r="F163" s="172"/>
      <c r="G163" s="172"/>
      <c r="H163" s="172"/>
      <c r="I163" s="179"/>
      <c r="J163" s="180"/>
    </row>
    <row r="164" spans="1:10">
      <c r="A164" s="220"/>
      <c r="B164" s="217"/>
      <c r="C164" s="218"/>
      <c r="D164" s="217"/>
      <c r="E164" s="217"/>
      <c r="F164" s="217"/>
      <c r="G164" s="217"/>
      <c r="H164" s="217"/>
      <c r="I164" s="219"/>
      <c r="J164" s="221"/>
    </row>
    <row r="165" spans="1:10">
      <c r="A165" s="181" t="s">
        <v>330</v>
      </c>
      <c r="B165" s="172"/>
      <c r="C165" s="172" t="s">
        <v>490</v>
      </c>
      <c r="D165" s="172"/>
      <c r="E165" s="172" t="s">
        <v>829</v>
      </c>
      <c r="F165" s="172"/>
      <c r="G165" s="172"/>
      <c r="H165" s="190"/>
      <c r="I165" s="179"/>
      <c r="J165" s="180"/>
    </row>
    <row r="166" spans="1:10">
      <c r="A166" s="166" t="s">
        <v>329</v>
      </c>
      <c r="B166" s="172"/>
      <c r="C166" s="230">
        <f>'Samhällsekonomisk kalkyl'!B4</f>
        <v>58.308190440504582</v>
      </c>
      <c r="D166" s="162" t="s">
        <v>326</v>
      </c>
      <c r="E166" s="231">
        <f>'Samhällsekonomisk kalkyl'!D4</f>
        <v>1239.7116451285603</v>
      </c>
      <c r="F166" s="162" t="s">
        <v>252</v>
      </c>
      <c r="G166" s="172"/>
      <c r="H166" s="190"/>
      <c r="I166" s="179"/>
      <c r="J166" s="180"/>
    </row>
    <row r="167" spans="1:10">
      <c r="A167" s="181"/>
      <c r="B167" s="172"/>
      <c r="C167" s="172"/>
      <c r="D167" s="172"/>
      <c r="E167" s="172"/>
      <c r="F167" s="172"/>
      <c r="G167" s="172"/>
      <c r="H167" s="190"/>
      <c r="I167" s="179"/>
      <c r="J167" s="180"/>
    </row>
    <row r="168" spans="1:10">
      <c r="A168" s="166" t="s">
        <v>51</v>
      </c>
      <c r="B168" s="162"/>
      <c r="C168" s="230">
        <f>'Samhällsekonomisk kalkyl'!B5</f>
        <v>8.4649856926713216</v>
      </c>
      <c r="D168" s="162" t="s">
        <v>326</v>
      </c>
      <c r="E168" s="231">
        <f>'Samhällsekonomisk kalkyl'!D5</f>
        <v>179.97713974264227</v>
      </c>
      <c r="F168" s="162" t="s">
        <v>252</v>
      </c>
      <c r="G168" s="172"/>
      <c r="H168" s="189"/>
      <c r="I168" s="189"/>
      <c r="J168" s="180"/>
    </row>
    <row r="169" spans="1:10">
      <c r="A169" s="224"/>
      <c r="B169" s="162"/>
      <c r="C169" s="162"/>
      <c r="D169" s="162"/>
      <c r="E169" s="189"/>
      <c r="F169" s="172"/>
      <c r="G169" s="172"/>
      <c r="H169" s="189"/>
      <c r="I169" s="189"/>
      <c r="J169" s="180"/>
    </row>
    <row r="170" spans="1:10">
      <c r="A170" s="166" t="s">
        <v>132</v>
      </c>
      <c r="B170" s="162"/>
      <c r="C170" s="230">
        <f>'Samhällsekonomisk kalkyl'!B6</f>
        <v>3.7091335927919711</v>
      </c>
      <c r="D170" s="162" t="s">
        <v>326</v>
      </c>
      <c r="E170" s="231">
        <f>'Samhällsekonomisk kalkyl'!D6</f>
        <v>59.426358893116593</v>
      </c>
      <c r="F170" s="162" t="s">
        <v>252</v>
      </c>
      <c r="G170" s="172"/>
      <c r="H170" s="189"/>
      <c r="I170" s="189"/>
      <c r="J170" s="180"/>
    </row>
    <row r="171" spans="1:10">
      <c r="A171" s="224"/>
      <c r="B171" s="162"/>
      <c r="C171" s="189"/>
      <c r="D171" s="189"/>
      <c r="E171" s="189"/>
      <c r="F171" s="172"/>
      <c r="G171" s="172"/>
      <c r="H171" s="189"/>
      <c r="I171" s="189"/>
      <c r="J171" s="180"/>
    </row>
    <row r="172" spans="1:10">
      <c r="A172" s="181" t="s">
        <v>331</v>
      </c>
      <c r="B172" s="172"/>
      <c r="C172" s="172" t="s">
        <v>328</v>
      </c>
      <c r="D172" s="172"/>
      <c r="E172" s="172"/>
      <c r="F172" s="172"/>
      <c r="G172" s="172"/>
      <c r="H172" s="189"/>
      <c r="I172" s="189"/>
      <c r="J172" s="180"/>
    </row>
    <row r="173" spans="1:10">
      <c r="A173" s="166" t="s">
        <v>758</v>
      </c>
      <c r="B173" s="213"/>
      <c r="C173" s="216"/>
      <c r="D173" s="162"/>
      <c r="E173" s="231">
        <f>'Samhällsekonomisk kalkyl'!D11</f>
        <v>121.60228187031245</v>
      </c>
      <c r="F173" s="162" t="s">
        <v>252</v>
      </c>
      <c r="G173" s="213"/>
      <c r="H173" s="189"/>
      <c r="I173" s="189"/>
      <c r="J173" s="180"/>
    </row>
    <row r="174" spans="1:10">
      <c r="A174" s="224"/>
      <c r="B174" s="172"/>
      <c r="C174" s="172"/>
      <c r="D174" s="172"/>
      <c r="E174" s="172"/>
      <c r="F174" s="172"/>
      <c r="G174" s="172"/>
      <c r="H174" s="189"/>
      <c r="I174" s="189"/>
      <c r="J174" s="180"/>
    </row>
    <row r="175" spans="1:10">
      <c r="A175" s="166" t="s">
        <v>759</v>
      </c>
      <c r="B175" s="172"/>
      <c r="C175" s="230">
        <f>'Samhällsekonomisk kalkyl'!B9</f>
        <v>7.0060000000000002</v>
      </c>
      <c r="D175" s="162" t="s">
        <v>326</v>
      </c>
      <c r="E175" s="231">
        <f>'Samhällsekonomisk kalkyl'!D12</f>
        <v>145.92178415426605</v>
      </c>
      <c r="F175" s="162" t="s">
        <v>252</v>
      </c>
      <c r="G175" s="172"/>
      <c r="H175" s="189"/>
      <c r="I175" s="189"/>
      <c r="J175" s="180"/>
    </row>
    <row r="176" spans="1:10">
      <c r="A176" s="224"/>
      <c r="B176" s="172"/>
      <c r="C176" s="172"/>
      <c r="D176" s="172"/>
      <c r="E176" s="172"/>
      <c r="F176" s="172"/>
      <c r="G176" s="172"/>
      <c r="H176" s="189"/>
      <c r="I176" s="189"/>
      <c r="J176" s="180"/>
    </row>
    <row r="177" spans="1:10">
      <c r="A177" s="166" t="s">
        <v>148</v>
      </c>
      <c r="B177" s="172"/>
      <c r="C177" s="216"/>
      <c r="D177" s="172"/>
      <c r="E177" s="231">
        <f>'Samhällsekonomisk kalkyl'!D13</f>
        <v>1211.5910777397407</v>
      </c>
      <c r="F177" s="172"/>
      <c r="G177" s="515"/>
      <c r="H177" s="189"/>
      <c r="I177" s="189"/>
      <c r="J177" s="180"/>
    </row>
    <row r="178" spans="1:10">
      <c r="A178" s="166"/>
      <c r="B178" s="162"/>
      <c r="C178" s="160"/>
      <c r="D178" s="162"/>
      <c r="E178" s="189"/>
      <c r="F178" s="190"/>
      <c r="G178" s="172"/>
      <c r="H178" s="189"/>
      <c r="I178" s="189"/>
      <c r="J178" s="180"/>
    </row>
    <row r="179" spans="1:10">
      <c r="A179" s="181" t="s">
        <v>149</v>
      </c>
      <c r="B179" s="162"/>
      <c r="C179" s="162"/>
      <c r="D179" s="162"/>
      <c r="E179" s="232">
        <f>'Samhällsekonomisk kalkyl'!D14</f>
        <v>4.5289049906576526</v>
      </c>
      <c r="F179" s="172"/>
      <c r="G179" s="172"/>
      <c r="H179" s="189"/>
      <c r="I179" s="189"/>
      <c r="J179" s="180"/>
    </row>
    <row r="180" spans="1:10">
      <c r="A180" s="161"/>
      <c r="B180" s="189"/>
      <c r="C180" s="189"/>
      <c r="D180" s="189"/>
      <c r="E180" s="189"/>
      <c r="F180" s="189"/>
      <c r="G180" s="172"/>
      <c r="H180" s="189"/>
      <c r="I180" s="189"/>
      <c r="J180" s="180"/>
    </row>
    <row r="181" spans="1:10">
      <c r="A181" s="318"/>
      <c r="B181" s="189"/>
      <c r="C181" s="189"/>
      <c r="D181" s="189"/>
      <c r="E181" s="189"/>
      <c r="F181" s="189"/>
      <c r="G181" s="189"/>
      <c r="H181" s="189"/>
      <c r="I181" s="189"/>
      <c r="J181" s="180"/>
    </row>
    <row r="182" spans="1:10">
      <c r="A182" s="161"/>
      <c r="B182" s="189"/>
      <c r="C182" s="189"/>
      <c r="D182" s="189"/>
      <c r="E182" s="189"/>
      <c r="F182" s="189"/>
      <c r="G182" s="189"/>
      <c r="H182" s="189"/>
      <c r="I182" s="189"/>
      <c r="J182" s="180"/>
    </row>
    <row r="183" spans="1:10">
      <c r="A183" s="161"/>
      <c r="B183" s="189"/>
      <c r="C183" s="189"/>
      <c r="D183" s="189"/>
      <c r="E183" s="189"/>
      <c r="F183" s="189"/>
      <c r="G183" s="189"/>
      <c r="H183" s="189"/>
      <c r="I183" s="189"/>
      <c r="J183" s="180"/>
    </row>
    <row r="184" spans="1:10">
      <c r="A184" s="161"/>
      <c r="B184" s="189"/>
      <c r="C184" s="189"/>
      <c r="D184" s="189"/>
      <c r="E184" s="189"/>
      <c r="F184" s="189"/>
      <c r="G184" s="189"/>
      <c r="H184" s="189"/>
      <c r="I184" s="189"/>
      <c r="J184" s="180"/>
    </row>
    <row r="185" spans="1:10">
      <c r="A185" s="161"/>
      <c r="B185" s="189"/>
      <c r="C185" s="189"/>
      <c r="D185" s="189"/>
      <c r="E185" s="189"/>
      <c r="F185" s="189"/>
      <c r="G185" s="189"/>
      <c r="H185" s="189"/>
      <c r="I185" s="189"/>
      <c r="J185" s="180"/>
    </row>
    <row r="186" spans="1:10">
      <c r="A186" s="161"/>
      <c r="B186" s="189"/>
      <c r="C186" s="189"/>
      <c r="D186" s="189"/>
      <c r="E186" s="189"/>
      <c r="F186" s="189"/>
      <c r="G186" s="189"/>
      <c r="H186" s="189"/>
      <c r="I186" s="189"/>
      <c r="J186" s="180"/>
    </row>
    <row r="187" spans="1:10">
      <c r="A187" s="161"/>
      <c r="B187" s="189"/>
      <c r="C187" s="189"/>
      <c r="D187" s="189"/>
      <c r="E187" s="189"/>
      <c r="F187" s="189"/>
      <c r="G187" s="189"/>
      <c r="H187" s="189"/>
      <c r="I187" s="189"/>
      <c r="J187" s="180"/>
    </row>
    <row r="188" spans="1:10">
      <c r="A188" s="161"/>
      <c r="B188" s="189"/>
      <c r="C188" s="189"/>
      <c r="D188" s="189"/>
      <c r="E188" s="189"/>
      <c r="F188" s="189"/>
      <c r="G188" s="189"/>
      <c r="H188" s="189"/>
      <c r="I188" s="189"/>
      <c r="J188" s="180"/>
    </row>
    <row r="189" spans="1:10">
      <c r="A189" s="161"/>
      <c r="B189" s="189"/>
      <c r="C189" s="189"/>
      <c r="D189" s="189"/>
      <c r="E189" s="189"/>
      <c r="F189" s="189"/>
      <c r="G189" s="189"/>
      <c r="H189" s="189"/>
      <c r="I189" s="189"/>
      <c r="J189" s="180"/>
    </row>
    <row r="190" spans="1:10">
      <c r="A190" s="161"/>
      <c r="B190" s="189"/>
      <c r="C190" s="189"/>
      <c r="D190" s="189"/>
      <c r="E190" s="189"/>
      <c r="F190" s="189"/>
      <c r="G190" s="189"/>
      <c r="H190" s="189"/>
      <c r="I190" s="189"/>
      <c r="J190" s="180"/>
    </row>
    <row r="191" spans="1:10">
      <c r="A191" s="161"/>
      <c r="B191" s="189"/>
      <c r="C191" s="189"/>
      <c r="D191" s="189"/>
      <c r="E191" s="189"/>
      <c r="F191" s="189"/>
      <c r="G191" s="189"/>
      <c r="H191" s="189"/>
      <c r="I191" s="189"/>
      <c r="J191" s="180"/>
    </row>
    <row r="192" spans="1:10">
      <c r="A192" s="161"/>
      <c r="B192" s="189"/>
      <c r="C192" s="189"/>
      <c r="D192" s="189"/>
      <c r="E192" s="189"/>
      <c r="F192" s="189"/>
      <c r="G192" s="189"/>
      <c r="H192" s="189"/>
      <c r="I192" s="189"/>
      <c r="J192" s="180"/>
    </row>
    <row r="193" spans="1:10">
      <c r="A193" s="161"/>
      <c r="B193" s="189"/>
      <c r="C193" s="189"/>
      <c r="D193" s="189"/>
      <c r="E193" s="189"/>
      <c r="F193" s="189"/>
      <c r="G193" s="189"/>
      <c r="H193" s="189"/>
      <c r="I193" s="189"/>
      <c r="J193" s="180"/>
    </row>
    <row r="194" spans="1:10">
      <c r="A194" s="161"/>
      <c r="B194" s="189"/>
      <c r="C194" s="189"/>
      <c r="D194" s="189"/>
      <c r="E194" s="189"/>
      <c r="F194" s="189"/>
      <c r="G194" s="189"/>
      <c r="H194" s="189"/>
      <c r="I194" s="189"/>
      <c r="J194" s="180"/>
    </row>
    <row r="195" spans="1:10">
      <c r="A195" s="161"/>
      <c r="B195" s="189"/>
      <c r="C195" s="189"/>
      <c r="D195" s="189"/>
      <c r="E195" s="189"/>
      <c r="F195" s="189"/>
      <c r="G195" s="189"/>
      <c r="H195" s="189"/>
      <c r="I195" s="189"/>
      <c r="J195" s="180"/>
    </row>
    <row r="196" spans="1:10">
      <c r="A196" s="161"/>
      <c r="B196" s="189"/>
      <c r="C196" s="189"/>
      <c r="D196" s="189"/>
      <c r="E196" s="189"/>
      <c r="F196" s="189"/>
      <c r="G196" s="189"/>
      <c r="H196" s="189"/>
      <c r="I196" s="189"/>
      <c r="J196" s="180"/>
    </row>
    <row r="197" spans="1:10">
      <c r="A197" s="161"/>
      <c r="B197" s="189"/>
      <c r="C197" s="189"/>
      <c r="D197" s="189"/>
      <c r="E197" s="189"/>
      <c r="F197" s="189"/>
      <c r="G197" s="189"/>
      <c r="H197" s="189"/>
      <c r="I197" s="189"/>
      <c r="J197" s="180"/>
    </row>
    <row r="198" spans="1:10">
      <c r="A198" s="161"/>
      <c r="B198" s="189"/>
      <c r="C198" s="189"/>
      <c r="D198" s="189"/>
      <c r="E198" s="189"/>
      <c r="F198" s="189"/>
      <c r="G198" s="189"/>
      <c r="H198" s="189"/>
      <c r="I198" s="189"/>
      <c r="J198" s="180"/>
    </row>
    <row r="199" spans="1:10">
      <c r="A199" s="161"/>
      <c r="B199" s="189"/>
      <c r="C199" s="189"/>
      <c r="D199" s="189"/>
      <c r="E199" s="189"/>
      <c r="F199" s="189"/>
      <c r="G199" s="189"/>
      <c r="H199" s="189"/>
      <c r="I199" s="189"/>
      <c r="J199" s="180"/>
    </row>
    <row r="200" spans="1:10">
      <c r="A200" s="161"/>
      <c r="B200" s="189"/>
      <c r="C200" s="189"/>
      <c r="D200" s="189"/>
      <c r="E200" s="189"/>
      <c r="F200" s="189"/>
      <c r="G200" s="189"/>
      <c r="H200" s="189"/>
      <c r="I200" s="189"/>
      <c r="J200" s="180"/>
    </row>
    <row r="201" spans="1:10">
      <c r="A201" s="161"/>
      <c r="B201" s="189"/>
      <c r="C201" s="189"/>
      <c r="D201" s="189"/>
      <c r="E201" s="189"/>
      <c r="F201" s="189"/>
      <c r="G201" s="189"/>
      <c r="H201" s="189"/>
      <c r="I201" s="189"/>
      <c r="J201" s="180"/>
    </row>
    <row r="202" spans="1:10">
      <c r="A202" s="161"/>
      <c r="B202" s="189"/>
      <c r="C202" s="189"/>
      <c r="D202" s="189"/>
      <c r="E202" s="189"/>
      <c r="F202" s="189"/>
      <c r="G202" s="189"/>
      <c r="H202" s="189"/>
      <c r="I202" s="189"/>
      <c r="J202" s="180"/>
    </row>
    <row r="203" spans="1:10">
      <c r="A203" s="161"/>
      <c r="B203" s="189"/>
      <c r="C203" s="189"/>
      <c r="D203" s="189"/>
      <c r="E203" s="189"/>
      <c r="F203" s="189"/>
      <c r="G203" s="189"/>
      <c r="H203" s="189"/>
      <c r="I203" s="189"/>
      <c r="J203" s="180"/>
    </row>
    <row r="204" spans="1:10">
      <c r="A204" s="161"/>
      <c r="B204" s="189"/>
      <c r="C204" s="189"/>
      <c r="D204" s="189"/>
      <c r="E204" s="189"/>
      <c r="F204" s="189"/>
      <c r="G204" s="189"/>
      <c r="H204" s="189"/>
      <c r="I204" s="189"/>
      <c r="J204" s="180"/>
    </row>
    <row r="205" spans="1:10">
      <c r="A205" s="161"/>
      <c r="B205" s="189"/>
      <c r="C205" s="189"/>
      <c r="D205" s="189"/>
      <c r="E205" s="189"/>
      <c r="F205" s="189"/>
      <c r="G205" s="189"/>
      <c r="H205" s="189"/>
      <c r="I205" s="189"/>
      <c r="J205" s="180"/>
    </row>
    <row r="206" spans="1:10">
      <c r="A206" s="161"/>
      <c r="B206" s="189"/>
      <c r="C206" s="189"/>
      <c r="D206" s="189"/>
      <c r="E206" s="189"/>
      <c r="F206" s="189"/>
      <c r="G206" s="189"/>
      <c r="H206" s="189"/>
      <c r="I206" s="189"/>
      <c r="J206" s="180"/>
    </row>
    <row r="207" spans="1:10">
      <c r="A207" s="161"/>
      <c r="B207" s="189"/>
      <c r="C207" s="189"/>
      <c r="D207" s="189"/>
      <c r="E207" s="189"/>
      <c r="F207" s="189"/>
      <c r="G207" s="189"/>
      <c r="H207" s="189"/>
      <c r="I207" s="189"/>
      <c r="J207" s="180"/>
    </row>
    <row r="208" spans="1:10">
      <c r="A208" s="161"/>
      <c r="B208" s="189"/>
      <c r="C208" s="189"/>
      <c r="D208" s="189"/>
      <c r="E208" s="189"/>
      <c r="F208" s="189"/>
      <c r="G208" s="189"/>
      <c r="H208" s="189"/>
      <c r="I208" s="189"/>
      <c r="J208" s="180"/>
    </row>
    <row r="209" spans="1:10">
      <c r="A209" s="161"/>
      <c r="B209" s="189"/>
      <c r="C209" s="189"/>
      <c r="D209" s="189"/>
      <c r="E209" s="189"/>
      <c r="F209" s="189"/>
      <c r="G209" s="189"/>
      <c r="H209" s="189"/>
      <c r="I209" s="189"/>
      <c r="J209" s="180"/>
    </row>
    <row r="210" spans="1:10">
      <c r="A210" s="229"/>
      <c r="B210" s="192"/>
      <c r="C210" s="192"/>
      <c r="D210" s="192"/>
      <c r="E210" s="192"/>
      <c r="F210" s="192"/>
      <c r="G210" s="192"/>
      <c r="H210" s="192"/>
      <c r="I210" s="192"/>
      <c r="J210" s="193"/>
    </row>
    <row r="211" spans="1:10">
      <c r="C211" s="160"/>
      <c r="I211" s="160"/>
    </row>
    <row r="212" spans="1:10">
      <c r="C212" s="160"/>
      <c r="I212" s="160"/>
    </row>
    <row r="213" spans="1:10">
      <c r="C213" s="160"/>
      <c r="I213" s="160"/>
    </row>
    <row r="214" spans="1:10">
      <c r="C214" s="160"/>
      <c r="I214" s="160"/>
    </row>
    <row r="215" spans="1:10">
      <c r="C215" s="160"/>
      <c r="I215" s="160"/>
    </row>
    <row r="216" spans="1:10">
      <c r="C216" s="160"/>
      <c r="I216" s="160"/>
    </row>
    <row r="217" spans="1:10">
      <c r="C217" s="160"/>
      <c r="I217" s="160"/>
    </row>
    <row r="218" spans="1:10">
      <c r="C218" s="160"/>
      <c r="I218" s="160"/>
    </row>
    <row r="219" spans="1:10">
      <c r="C219" s="160"/>
      <c r="I219" s="160"/>
    </row>
    <row r="220" spans="1:10">
      <c r="C220" s="160"/>
      <c r="I220" s="160"/>
    </row>
    <row r="221" spans="1:10">
      <c r="C221" s="160"/>
      <c r="I221" s="160"/>
    </row>
    <row r="222" spans="1:10">
      <c r="C222" s="160"/>
      <c r="I222" s="160"/>
    </row>
    <row r="223" spans="1:10">
      <c r="C223" s="160"/>
      <c r="I223" s="160"/>
    </row>
    <row r="224" spans="1:10">
      <c r="C224" s="160"/>
      <c r="I224" s="160"/>
    </row>
    <row r="225" spans="3:9">
      <c r="C225" s="160"/>
      <c r="I225" s="160"/>
    </row>
    <row r="226" spans="3:9">
      <c r="C226" s="160"/>
      <c r="I226" s="160"/>
    </row>
    <row r="227" spans="3:9">
      <c r="C227" s="160"/>
      <c r="I227" s="160"/>
    </row>
    <row r="228" spans="3:9">
      <c r="C228" s="160"/>
      <c r="I228" s="160"/>
    </row>
    <row r="229" spans="3:9">
      <c r="C229" s="160"/>
      <c r="I229" s="160"/>
    </row>
    <row r="230" spans="3:9">
      <c r="C230" s="160"/>
      <c r="I230" s="160"/>
    </row>
    <row r="231" spans="3:9">
      <c r="C231" s="160"/>
      <c r="I231" s="160"/>
    </row>
    <row r="232" spans="3:9">
      <c r="C232" s="160"/>
      <c r="I232" s="160"/>
    </row>
    <row r="233" spans="3:9">
      <c r="C233" s="160"/>
      <c r="I233" s="160"/>
    </row>
    <row r="234" spans="3:9">
      <c r="C234" s="160"/>
      <c r="I234" s="160"/>
    </row>
    <row r="235" spans="3:9">
      <c r="C235" s="160"/>
      <c r="I235" s="160"/>
    </row>
    <row r="236" spans="3:9">
      <c r="C236" s="160"/>
      <c r="I236" s="160"/>
    </row>
    <row r="237" spans="3:9">
      <c r="C237" s="160"/>
      <c r="I237" s="160"/>
    </row>
    <row r="238" spans="3:9">
      <c r="C238" s="160"/>
      <c r="I238" s="160"/>
    </row>
    <row r="239" spans="3:9">
      <c r="C239" s="160"/>
      <c r="I239" s="160"/>
    </row>
    <row r="240" spans="3:9">
      <c r="C240" s="160"/>
      <c r="I240" s="160"/>
    </row>
    <row r="241" spans="3:9">
      <c r="C241" s="160"/>
      <c r="I241" s="160"/>
    </row>
    <row r="242" spans="3:9">
      <c r="C242" s="160"/>
      <c r="I242" s="160"/>
    </row>
    <row r="243" spans="3:9">
      <c r="C243" s="160"/>
      <c r="I243" s="160"/>
    </row>
    <row r="244" spans="3:9">
      <c r="C244" s="160"/>
      <c r="I244" s="160"/>
    </row>
    <row r="245" spans="3:9">
      <c r="C245" s="160"/>
      <c r="I245" s="160"/>
    </row>
    <row r="246" spans="3:9">
      <c r="C246" s="160"/>
      <c r="I246" s="160"/>
    </row>
    <row r="247" spans="3:9">
      <c r="C247" s="160"/>
      <c r="I247" s="160"/>
    </row>
  </sheetData>
  <mergeCells count="2">
    <mergeCell ref="A1:J1"/>
    <mergeCell ref="A2:J2"/>
  </mergeCells>
  <phoneticPr fontId="66" type="noConversion"/>
  <dataValidations count="5">
    <dataValidation showInputMessage="1" showErrorMessage="1" sqref="C30 C33 C27"/>
    <dataValidation type="decimal" showInputMessage="1" showErrorMessage="1" sqref="C18 C39 C63 C57 C51">
      <formula1>0</formula1>
      <formula2>100</formula2>
    </dataValidation>
    <dataValidation type="decimal" showInputMessage="1" showErrorMessage="1" sqref="C42">
      <formula1>0</formula1>
      <formula2>500</formula2>
    </dataValidation>
    <dataValidation type="decimal" showInputMessage="1" showErrorMessage="1" sqref="C48">
      <formula1>0</formula1>
      <formula2>250</formula2>
    </dataValidation>
    <dataValidation type="decimal" showInputMessage="1" showErrorMessage="1" sqref="C60">
      <formula1>0</formula1>
      <formula2>300</formula2>
    </dataValidation>
  </dataValidations>
  <pageMargins left="0.7" right="0.7" top="0.75" bottom="0.75" header="0.3" footer="0.3"/>
  <pageSetup paperSize="9" orientation="portrait" r:id="rId1"/>
  <headerFooter>
    <oddHeader xml:space="preserve">&amp;C </oddHeader>
    <oddFooter xml:space="preserve">&amp;C </oddFooter>
  </headerFooter>
  <rowBreaks count="1" manualBreakCount="1">
    <brk id="110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34670C3A-3BA2-43A5-835A-274012ED7A40}">
            <xm:f>ROUND($C$30,1)&lt;&gt;ROUND('Komplettering MCS_kö'!$K$7,1)</xm:f>
            <x14:dxf>
              <fill>
                <patternFill>
                  <bgColor rgb="FFFF5050"/>
                </patternFill>
              </fill>
            </x14:dxf>
          </x14:cfRule>
          <xm:sqref>C30</xm:sqref>
        </x14:conditionalFormatting>
        <x14:conditionalFormatting xmlns:xm="http://schemas.microsoft.com/office/excel/2006/main">
          <x14:cfRule type="expression" priority="15" id="{240D6CBE-99F1-483D-803E-DB63E3E1CE78}">
            <xm:f>ROUND($C$33,1)&lt;&gt;ROUND(Normalvärden!$C$23,1)</xm:f>
            <x14:dxf>
              <fill>
                <patternFill>
                  <bgColor rgb="FFFF5050"/>
                </patternFill>
              </fill>
            </x14:dxf>
          </x14:cfRule>
          <xm:sqref>C33</xm:sqref>
        </x14:conditionalFormatting>
        <x14:conditionalFormatting xmlns:xm="http://schemas.microsoft.com/office/excel/2006/main">
          <x14:cfRule type="expression" priority="10" id="{95B85B74-3A53-4EFB-9CBB-D7B697170699}">
            <xm:f>ROUND($C$51,1)&lt;&gt;ROUND('Investering &amp; drift '!$I$5*$C$24,1)</xm:f>
            <x14:dxf>
              <fill>
                <patternFill>
                  <bgColor rgb="FFFF5050"/>
                </patternFill>
              </fill>
            </x14:dxf>
          </x14:cfRule>
          <xm:sqref>C51</xm:sqref>
        </x14:conditionalFormatting>
        <x14:conditionalFormatting xmlns:xm="http://schemas.microsoft.com/office/excel/2006/main">
          <x14:cfRule type="expression" priority="8" id="{15520937-5CDF-45D1-AB15-693CAB76995E}">
            <xm:f>ROUND($C$60,1)&lt;&gt;ROUND('Investering &amp; drift '!$K$9*$C$24,1)</xm:f>
            <x14:dxf>
              <fill>
                <patternFill>
                  <bgColor rgb="FFFF5050"/>
                </patternFill>
              </fill>
            </x14:dxf>
          </x14:cfRule>
          <xm:sqref>C60</xm:sqref>
        </x14:conditionalFormatting>
        <x14:conditionalFormatting xmlns:xm="http://schemas.microsoft.com/office/excel/2006/main">
          <x14:cfRule type="expression" priority="7" id="{18DF34E5-B8CB-43C7-8EF5-EE0D68039560}">
            <xm:f>ROUND($C$63,1)&lt;&gt;ROUND('Investering &amp; drift '!$L$9*$C$24,1)</xm:f>
            <x14:dxf>
              <fill>
                <patternFill>
                  <bgColor rgb="FFFF5050"/>
                </patternFill>
              </fill>
            </x14:dxf>
          </x14:cfRule>
          <xm:sqref>C63</xm:sqref>
        </x14:conditionalFormatting>
        <x14:conditionalFormatting xmlns:xm="http://schemas.microsoft.com/office/excel/2006/main">
          <x14:cfRule type="expression" priority="17" id="{FBFF51F2-321B-41C2-B505-7E47FF4E92A4}">
            <xm:f>ROUND($C$39,1)&lt;&gt;ROUND(Sekundärolyckor!B40,1)</xm:f>
            <x14:dxf>
              <fill>
                <patternFill>
                  <bgColor rgb="FFFF5050"/>
                </patternFill>
              </fill>
            </x14:dxf>
          </x14:cfRule>
          <xm:sqref>C39</xm:sqref>
        </x14:conditionalFormatting>
        <x14:conditionalFormatting xmlns:xm="http://schemas.microsoft.com/office/excel/2006/main">
          <x14:cfRule type="expression" priority="6" id="{6F591B27-FD1A-4D05-A519-1501BCDDB5C9}">
            <xm:f>ROUND($C$27,1)&lt;&gt;ROUND('Tät trafik'!$J$25*100,1)</xm:f>
            <x14:dxf>
              <fill>
                <patternFill>
                  <bgColor rgb="FFFF505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expression" priority="5" id="{213123CB-6DDF-5145-89EF-9C092DCA9B8C}">
            <xm:f>ROUND($C$48,1)&lt;&gt;ROUND('Investering &amp; drift '!$J$5*$C$24,1)</xm:f>
            <x14:dxf>
              <fill>
                <patternFill>
                  <bgColor rgb="FFFF505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expression" priority="3" id="{DC2DE3AF-9553-324F-8837-D4A668B73299}">
            <xm:f>ROUND($C$42,1)&lt;&gt;ROUND('Investering &amp; drift '!$H$5*$C$24,1)</xm:f>
            <x14:dxf>
              <fill>
                <patternFill>
                  <bgColor rgb="FFFF5050"/>
                </patternFill>
              </fill>
            </x14:dxf>
          </x14:cfRule>
          <xm:sqref>C42</xm:sqref>
        </x14:conditionalFormatting>
        <x14:conditionalFormatting xmlns:xm="http://schemas.microsoft.com/office/excel/2006/main">
          <x14:cfRule type="expression" priority="2" id="{6633187B-A6E5-4EB1-9807-AE5D10FB6B4F}">
            <xm:f>ROUND($C$57,1)&lt;&gt;ROUND('Tät trafik'!$B$54,1)</xm:f>
            <x14:dxf>
              <fill>
                <patternFill>
                  <bgColor rgb="FFF0B7AE"/>
                </patternFill>
              </fill>
            </x14:dxf>
          </x14:cfRule>
          <xm:sqref>C57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>
          <x14:formula1>
            <xm:f>Index!$N$2:$N$74</xm:f>
          </x14:formula1>
          <xm:sqref>C45</xm:sqref>
        </x14:dataValidation>
        <x14:dataValidation type="decimal" operator="greaterThan" showInputMessage="1" showErrorMessage="1">
          <x14:formula1>
            <xm:f>Normalvärden!$B$63</xm:f>
          </x14:formula1>
          <xm:sqref>C24</xm:sqref>
        </x14:dataValidation>
        <x14:dataValidation type="list" allowBlank="1" showInputMessage="1" showErrorMessage="1">
          <x14:formula1>
            <xm:f>Normalvärden!$A$46:$A$48</xm:f>
          </x14:formula1>
          <xm:sqref>C9</xm:sqref>
        </x14:dataValidation>
        <x14:dataValidation type="list" allowBlank="1" showInputMessage="1" showErrorMessage="1">
          <x14:formula1>
            <xm:f>Normalvärden!$B$46:$B$51</xm:f>
          </x14:formula1>
          <xm:sqref>C21</xm:sqref>
        </x14:dataValidation>
        <x14:dataValidation type="list" allowBlank="1" showInputMessage="1" showErrorMessage="1">
          <x14:formula1>
            <xm:f>'ASEK 7.1'!$A$23:$A$49</xm:f>
          </x14:formula1>
          <xm:sqref>C6</xm:sqref>
        </x14:dataValidation>
        <x14:dataValidation type="list" allowBlank="1" showInputMessage="1" showErrorMessage="1">
          <x14:formula1>
            <xm:f>'Investering &amp; drift '!$A$44:$A$46</xm:f>
          </x14:formula1>
          <xm:sqref>C12</xm:sqref>
        </x14:dataValidation>
        <x14:dataValidation type="whole" allowBlank="1" showInputMessage="1" showErrorMessage="1">
          <x14:formula1>
            <xm:f>0</xm:f>
          </x14:formula1>
          <x14:formula2>
            <xm:f>Normalvärden!A59</xm:f>
          </x14:formula2>
          <xm:sqref>C15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1"/>
  <sheetViews>
    <sheetView workbookViewId="0">
      <selection activeCell="A3" sqref="A3"/>
    </sheetView>
  </sheetViews>
  <sheetFormatPr defaultColWidth="10" defaultRowHeight="15.75"/>
  <cols>
    <col min="1" max="1" width="59.125" style="160" customWidth="1"/>
    <col min="2" max="2" width="10.875" style="160" customWidth="1"/>
    <col min="3" max="3" width="12.625" style="191" bestFit="1" customWidth="1"/>
    <col min="4" max="4" width="9.375" style="160" customWidth="1"/>
    <col min="5" max="5" width="12.625" style="160" customWidth="1"/>
    <col min="6" max="6" width="11.625" style="160" customWidth="1"/>
    <col min="7" max="8" width="10" style="160"/>
    <col min="9" max="9" width="10" style="183"/>
    <col min="10" max="10" width="11.125" style="160" customWidth="1"/>
    <col min="11" max="11" width="10.625" style="160" customWidth="1"/>
    <col min="12" max="12" width="12.125" style="160" customWidth="1"/>
    <col min="13" max="16384" width="10" style="160"/>
  </cols>
  <sheetData>
    <row r="1" spans="1:13" ht="26.25">
      <c r="A1" s="598" t="s">
        <v>754</v>
      </c>
      <c r="B1" s="599"/>
      <c r="C1" s="599"/>
      <c r="D1" s="599"/>
      <c r="E1" s="599"/>
      <c r="F1" s="599"/>
      <c r="G1" s="599"/>
      <c r="H1" s="599"/>
      <c r="I1" s="599"/>
      <c r="J1" s="600"/>
    </row>
    <row r="2" spans="1:13">
      <c r="A2" s="601"/>
      <c r="B2" s="602"/>
      <c r="C2" s="602"/>
      <c r="D2" s="602"/>
      <c r="E2" s="602"/>
      <c r="F2" s="602"/>
      <c r="G2" s="602"/>
      <c r="H2" s="602"/>
      <c r="I2" s="602"/>
      <c r="J2" s="603"/>
      <c r="K2" s="182"/>
      <c r="L2" s="182"/>
      <c r="M2" s="182"/>
    </row>
    <row r="3" spans="1:13">
      <c r="A3" s="209"/>
      <c r="B3" s="208"/>
      <c r="C3" s="208"/>
      <c r="D3" s="208"/>
      <c r="E3" s="208"/>
      <c r="F3" s="208"/>
      <c r="G3" s="208"/>
      <c r="H3" s="208"/>
      <c r="I3" s="208"/>
      <c r="J3" s="165" t="s">
        <v>831</v>
      </c>
      <c r="K3" s="507"/>
      <c r="L3" s="182"/>
      <c r="M3" s="182"/>
    </row>
    <row r="4" spans="1:13">
      <c r="A4" s="184"/>
      <c r="B4" s="185"/>
      <c r="C4" s="186"/>
      <c r="D4" s="185"/>
      <c r="E4" s="185"/>
      <c r="F4" s="185"/>
      <c r="G4" s="185"/>
      <c r="H4" s="185"/>
      <c r="I4" s="187"/>
      <c r="J4" s="188"/>
      <c r="K4" s="508"/>
      <c r="L4" s="182"/>
      <c r="M4" s="182"/>
    </row>
    <row r="5" spans="1:13">
      <c r="A5" s="363" t="s">
        <v>755</v>
      </c>
      <c r="B5" s="172"/>
      <c r="C5" s="172"/>
      <c r="D5" s="172"/>
      <c r="E5" s="172"/>
      <c r="F5" s="172"/>
      <c r="G5" s="172"/>
      <c r="H5" s="172"/>
      <c r="I5" s="179"/>
      <c r="J5" s="180"/>
      <c r="K5" s="507"/>
      <c r="L5" s="182"/>
      <c r="M5" s="182"/>
    </row>
    <row r="6" spans="1:13">
      <c r="A6" s="181"/>
      <c r="B6" s="172"/>
      <c r="C6" s="172"/>
      <c r="D6" s="172"/>
      <c r="E6" s="172"/>
      <c r="F6" s="172"/>
      <c r="G6" s="172"/>
      <c r="H6" s="172"/>
      <c r="I6" s="179"/>
      <c r="J6" s="180"/>
      <c r="K6" s="509"/>
      <c r="L6" s="182"/>
      <c r="M6" s="182"/>
    </row>
    <row r="7" spans="1:13">
      <c r="A7" s="181" t="s">
        <v>747</v>
      </c>
      <c r="B7" s="172"/>
      <c r="C7" s="172"/>
      <c r="D7" s="172"/>
      <c r="E7" s="172"/>
      <c r="F7" s="172"/>
      <c r="G7" s="172"/>
      <c r="H7" s="172"/>
      <c r="I7" s="179"/>
      <c r="J7" s="180"/>
      <c r="K7" s="507"/>
      <c r="L7" s="510"/>
      <c r="M7" s="182"/>
    </row>
    <row r="8" spans="1:13">
      <c r="A8" s="166" t="s">
        <v>53</v>
      </c>
      <c r="B8" s="172"/>
      <c r="C8" s="502"/>
      <c r="D8" s="162"/>
      <c r="E8" s="232">
        <f>'Komplettering MCS_kö'!B6</f>
        <v>331.04886800000003</v>
      </c>
      <c r="F8" s="162" t="s">
        <v>748</v>
      </c>
      <c r="G8" s="172"/>
      <c r="H8" s="172"/>
      <c r="I8" s="179"/>
      <c r="J8" s="180"/>
      <c r="K8" s="182"/>
      <c r="L8" s="182"/>
      <c r="M8" s="182"/>
    </row>
    <row r="9" spans="1:13">
      <c r="A9" s="181"/>
      <c r="B9" s="172"/>
      <c r="C9" s="172"/>
      <c r="D9" s="172"/>
      <c r="E9" s="172"/>
      <c r="F9" s="172"/>
      <c r="G9" s="172"/>
      <c r="H9" s="172"/>
      <c r="I9" s="179"/>
      <c r="J9" s="180"/>
      <c r="K9" s="504"/>
      <c r="L9" s="182"/>
      <c r="M9" s="182"/>
    </row>
    <row r="10" spans="1:13">
      <c r="A10" s="181" t="s">
        <v>750</v>
      </c>
      <c r="B10" s="172"/>
      <c r="C10" s="172"/>
      <c r="D10" s="172"/>
      <c r="E10" s="172"/>
      <c r="F10" s="172"/>
      <c r="G10" s="172"/>
      <c r="H10" s="172"/>
      <c r="I10" s="179"/>
      <c r="J10" s="180"/>
      <c r="K10" s="504"/>
      <c r="L10" s="182"/>
    </row>
    <row r="11" spans="1:13">
      <c r="A11" s="166" t="s">
        <v>596</v>
      </c>
      <c r="B11" s="162"/>
      <c r="C11" s="502"/>
      <c r="D11" s="162"/>
      <c r="E11" s="231">
        <f>'Komplettering MCS_kö'!B8</f>
        <v>11.2722139554</v>
      </c>
      <c r="F11" s="162" t="s">
        <v>749</v>
      </c>
      <c r="G11" s="172"/>
      <c r="H11" s="172"/>
      <c r="I11" s="179"/>
      <c r="J11" s="180"/>
    </row>
    <row r="12" spans="1:13">
      <c r="A12" s="224"/>
      <c r="B12" s="162"/>
      <c r="C12" s="162"/>
      <c r="D12" s="162"/>
      <c r="E12" s="189"/>
      <c r="F12" s="172"/>
      <c r="G12" s="172"/>
      <c r="H12" s="172"/>
      <c r="I12" s="179"/>
      <c r="J12" s="180"/>
    </row>
    <row r="13" spans="1:13">
      <c r="A13" s="166" t="s">
        <v>91</v>
      </c>
      <c r="B13" s="162"/>
      <c r="C13" s="502"/>
      <c r="D13" s="162"/>
      <c r="E13" s="232">
        <f>'Komplettering MCS_kö'!B9</f>
        <v>3.1610271654245312</v>
      </c>
      <c r="F13" s="162" t="s">
        <v>749</v>
      </c>
      <c r="G13" s="172"/>
      <c r="H13" s="172"/>
      <c r="I13" s="179"/>
      <c r="J13" s="180"/>
    </row>
    <row r="14" spans="1:13">
      <c r="A14" s="224"/>
      <c r="B14" s="162"/>
      <c r="C14" s="172"/>
      <c r="D14" s="189"/>
      <c r="E14" s="189"/>
      <c r="F14" s="172"/>
      <c r="G14" s="172"/>
      <c r="H14" s="172"/>
      <c r="I14" s="179"/>
      <c r="J14" s="180"/>
    </row>
    <row r="15" spans="1:13">
      <c r="A15" s="181" t="s">
        <v>146</v>
      </c>
      <c r="B15" s="172"/>
      <c r="C15" s="172"/>
      <c r="D15" s="172"/>
      <c r="E15" s="172"/>
      <c r="F15" s="172"/>
      <c r="G15" s="172"/>
      <c r="H15" s="172"/>
      <c r="I15" s="179"/>
      <c r="J15" s="180"/>
    </row>
    <row r="16" spans="1:13">
      <c r="A16" s="166" t="s">
        <v>59</v>
      </c>
      <c r="B16" s="213"/>
      <c r="C16" s="216"/>
      <c r="D16" s="162"/>
      <c r="E16" s="232">
        <f>'Komplettering MCS_kö'!B11</f>
        <v>3.1985397874396138</v>
      </c>
      <c r="F16" s="162" t="s">
        <v>751</v>
      </c>
      <c r="G16" s="213"/>
      <c r="H16" s="213"/>
      <c r="I16" s="214"/>
      <c r="J16" s="215"/>
    </row>
    <row r="17" spans="1:10">
      <c r="A17" s="224"/>
      <c r="B17" s="172"/>
      <c r="C17" s="172"/>
      <c r="D17" s="172"/>
      <c r="E17" s="172"/>
      <c r="F17" s="172"/>
      <c r="G17" s="172"/>
      <c r="H17" s="172"/>
      <c r="I17" s="179"/>
      <c r="J17" s="180"/>
    </row>
    <row r="18" spans="1:10">
      <c r="A18" s="166" t="s">
        <v>636</v>
      </c>
      <c r="B18" s="172"/>
      <c r="C18" s="502"/>
      <c r="D18" s="162"/>
      <c r="E18" s="230">
        <f>'Komplettering MCS_kö'!B12</f>
        <v>1.5377595131921051E-2</v>
      </c>
      <c r="F18" s="162" t="s">
        <v>751</v>
      </c>
      <c r="G18" s="172"/>
      <c r="H18" s="172"/>
      <c r="I18" s="179"/>
      <c r="J18" s="180"/>
    </row>
    <row r="19" spans="1:10" ht="12.75" customHeight="1">
      <c r="A19" s="224"/>
      <c r="B19" s="172"/>
      <c r="C19" s="172"/>
      <c r="D19" s="172"/>
      <c r="E19" s="172"/>
      <c r="F19" s="172"/>
      <c r="G19" s="172"/>
      <c r="H19" s="172"/>
      <c r="I19" s="179"/>
      <c r="J19" s="180"/>
    </row>
    <row r="20" spans="1:10">
      <c r="A20" s="166" t="s">
        <v>364</v>
      </c>
      <c r="B20" s="172"/>
      <c r="C20" s="216"/>
      <c r="D20" s="172"/>
      <c r="E20" s="230">
        <f>'Komplettering MCS_kö'!B14</f>
        <v>0.12809472420147736</v>
      </c>
      <c r="F20" s="162" t="s">
        <v>751</v>
      </c>
      <c r="G20" s="172"/>
      <c r="H20" s="172"/>
      <c r="I20" s="179"/>
      <c r="J20" s="180"/>
    </row>
    <row r="21" spans="1:10">
      <c r="A21" s="166"/>
      <c r="B21" s="162"/>
      <c r="C21" s="189"/>
      <c r="D21" s="162"/>
      <c r="E21" s="189"/>
      <c r="F21" s="190"/>
      <c r="G21" s="172"/>
      <c r="H21" s="172"/>
      <c r="I21" s="179"/>
      <c r="J21" s="180"/>
    </row>
    <row r="22" spans="1:10">
      <c r="A22" s="348" t="s">
        <v>134</v>
      </c>
      <c r="B22" s="162"/>
      <c r="C22" s="189"/>
      <c r="D22" s="162"/>
      <c r="E22" s="506">
        <f>'Komplettering MCS_kö'!B15</f>
        <v>5.3881726946079503E-3</v>
      </c>
      <c r="F22" s="162" t="s">
        <v>751</v>
      </c>
      <c r="G22" s="172"/>
      <c r="H22" s="172"/>
      <c r="I22" s="179"/>
      <c r="J22" s="180"/>
    </row>
    <row r="23" spans="1:10">
      <c r="A23" s="348"/>
      <c r="B23" s="162"/>
      <c r="C23" s="189"/>
      <c r="D23" s="162"/>
      <c r="E23" s="189"/>
      <c r="F23" s="190"/>
      <c r="G23" s="172"/>
      <c r="H23" s="172"/>
      <c r="I23" s="179"/>
      <c r="J23" s="180"/>
    </row>
    <row r="24" spans="1:10">
      <c r="A24" s="181" t="s">
        <v>129</v>
      </c>
      <c r="B24" s="162"/>
      <c r="C24" s="189"/>
      <c r="D24" s="162"/>
      <c r="E24" s="189"/>
      <c r="F24" s="190"/>
      <c r="G24" s="172"/>
      <c r="H24" s="172"/>
      <c r="I24" s="179"/>
      <c r="J24" s="180"/>
    </row>
    <row r="25" spans="1:10" ht="15.75" customHeight="1">
      <c r="A25" s="166" t="s">
        <v>209</v>
      </c>
      <c r="B25" s="162"/>
      <c r="C25" s="162"/>
      <c r="D25" s="162"/>
      <c r="E25" s="232">
        <f>'Komplettering MCS_kö'!B18</f>
        <v>0.23934600433099665</v>
      </c>
      <c r="F25" s="162" t="s">
        <v>752</v>
      </c>
      <c r="G25" s="172"/>
      <c r="H25"/>
      <c r="I25" s="179"/>
      <c r="J25" s="180"/>
    </row>
    <row r="26" spans="1:10">
      <c r="A26" s="166"/>
      <c r="B26" s="162"/>
      <c r="C26" s="162"/>
      <c r="D26" s="162"/>
      <c r="E26" s="189"/>
      <c r="F26" s="172"/>
      <c r="G26" s="172"/>
      <c r="H26" s="172"/>
      <c r="I26" s="179"/>
      <c r="J26" s="180"/>
    </row>
    <row r="27" spans="1:10">
      <c r="A27" s="166" t="s">
        <v>133</v>
      </c>
      <c r="B27" s="162"/>
      <c r="C27" s="162"/>
      <c r="D27" s="162"/>
      <c r="E27" s="230">
        <f>'Komplettering MCS_kö'!D19</f>
        <v>6.7118955035772324E-2</v>
      </c>
      <c r="F27" s="162" t="s">
        <v>752</v>
      </c>
      <c r="G27" s="172"/>
      <c r="H27" s="172"/>
      <c r="I27" s="179"/>
      <c r="J27" s="180"/>
    </row>
    <row r="28" spans="1:10">
      <c r="A28" s="348"/>
      <c r="B28" s="162"/>
      <c r="C28" s="162"/>
      <c r="D28" s="162"/>
      <c r="E28" s="189"/>
      <c r="F28" s="172"/>
      <c r="G28" s="172"/>
      <c r="H28" s="172"/>
      <c r="I28" s="179"/>
      <c r="J28" s="180"/>
    </row>
    <row r="29" spans="1:10">
      <c r="A29" s="166" t="s">
        <v>135</v>
      </c>
      <c r="B29" s="162"/>
      <c r="C29" s="162"/>
      <c r="D29" s="162"/>
      <c r="E29" s="230">
        <f>'Komplettering MCS_kö'!B20</f>
        <v>0.15936724683693779</v>
      </c>
      <c r="F29" s="162" t="s">
        <v>753</v>
      </c>
      <c r="G29" s="172"/>
      <c r="H29" s="172"/>
      <c r="I29" s="179"/>
      <c r="J29" s="180"/>
    </row>
    <row r="30" spans="1:10">
      <c r="A30" s="166"/>
      <c r="B30" s="162"/>
      <c r="C30" s="162"/>
      <c r="D30" s="162"/>
      <c r="E30" s="189"/>
      <c r="F30" s="172"/>
      <c r="G30" s="172"/>
      <c r="H30" s="172"/>
      <c r="I30" s="179"/>
      <c r="J30" s="180"/>
    </row>
    <row r="31" spans="1:10">
      <c r="A31" s="166"/>
      <c r="B31" s="162"/>
      <c r="C31" s="162"/>
      <c r="D31" s="162"/>
      <c r="E31" s="189"/>
      <c r="F31" s="172"/>
      <c r="G31" s="172"/>
      <c r="H31" s="172"/>
      <c r="I31" s="179"/>
      <c r="J31" s="180"/>
    </row>
    <row r="32" spans="1:10">
      <c r="A32" s="225"/>
      <c r="B32" s="226"/>
      <c r="C32" s="227"/>
      <c r="D32" s="226"/>
      <c r="E32" s="192"/>
      <c r="F32" s="192"/>
      <c r="G32" s="192"/>
      <c r="H32" s="192"/>
      <c r="I32" s="228"/>
      <c r="J32" s="193"/>
    </row>
    <row r="33" spans="1:11">
      <c r="A33" s="184"/>
      <c r="B33" s="185"/>
      <c r="C33" s="185"/>
      <c r="D33" s="185"/>
      <c r="E33" s="185"/>
      <c r="F33" s="185"/>
      <c r="G33" s="185"/>
      <c r="H33" s="185"/>
      <c r="I33" s="187"/>
      <c r="J33" s="188"/>
    </row>
    <row r="34" spans="1:11">
      <c r="A34" s="364" t="s">
        <v>756</v>
      </c>
      <c r="B34" s="172"/>
      <c r="C34" s="172"/>
      <c r="D34" s="172"/>
      <c r="E34" s="172"/>
      <c r="F34" s="172"/>
      <c r="G34" s="172"/>
      <c r="H34" s="172"/>
      <c r="I34" s="179"/>
      <c r="J34" s="180"/>
    </row>
    <row r="35" spans="1:11">
      <c r="A35" s="220"/>
      <c r="B35" s="217"/>
      <c r="C35" s="218"/>
      <c r="D35" s="217"/>
      <c r="E35" s="217"/>
      <c r="F35" s="217"/>
      <c r="G35" s="217"/>
      <c r="H35" s="217"/>
      <c r="I35" s="219"/>
      <c r="J35" s="221"/>
    </row>
    <row r="36" spans="1:11">
      <c r="A36" s="181" t="s">
        <v>747</v>
      </c>
      <c r="B36" s="172"/>
      <c r="C36" s="172"/>
      <c r="D36" s="172"/>
      <c r="E36" s="172"/>
      <c r="F36" s="172"/>
      <c r="G36" s="172"/>
      <c r="H36" s="190"/>
      <c r="I36" s="179"/>
      <c r="J36" s="180"/>
    </row>
    <row r="37" spans="1:11">
      <c r="A37" s="166" t="s">
        <v>53</v>
      </c>
      <c r="B37" s="172"/>
      <c r="C37" s="502"/>
      <c r="D37" s="162"/>
      <c r="E37" s="232">
        <f>'Uppgradering MCS_VH'!B6</f>
        <v>331.04886800000003</v>
      </c>
      <c r="F37" s="162" t="s">
        <v>748</v>
      </c>
      <c r="G37" s="172"/>
      <c r="H37" s="190"/>
      <c r="I37" s="179"/>
      <c r="J37" s="180"/>
      <c r="K37" s="182"/>
    </row>
    <row r="38" spans="1:11">
      <c r="A38" s="181"/>
      <c r="B38" s="172"/>
      <c r="C38" s="172"/>
      <c r="D38" s="172"/>
      <c r="E38" s="172"/>
      <c r="F38" s="172"/>
      <c r="G38" s="172"/>
      <c r="H38" s="190"/>
      <c r="I38" s="179"/>
      <c r="J38" s="180"/>
    </row>
    <row r="39" spans="1:11">
      <c r="A39" s="166" t="s">
        <v>652</v>
      </c>
      <c r="B39" s="172"/>
      <c r="C39" s="502"/>
      <c r="D39" s="162"/>
      <c r="E39" s="232">
        <f>'Uppgradering MCS_VH'!B7</f>
        <v>12.621604619497717</v>
      </c>
      <c r="F39" s="162" t="s">
        <v>748</v>
      </c>
      <c r="G39" s="172"/>
      <c r="H39" s="190"/>
      <c r="I39" s="179"/>
      <c r="J39" s="180"/>
    </row>
    <row r="40" spans="1:11">
      <c r="A40" s="503"/>
      <c r="B40" s="172"/>
      <c r="C40" s="172"/>
      <c r="D40" s="172"/>
      <c r="E40" s="172"/>
      <c r="F40" s="172"/>
      <c r="G40" s="172"/>
      <c r="H40" s="190"/>
      <c r="I40" s="179"/>
      <c r="J40" s="180"/>
    </row>
    <row r="41" spans="1:11">
      <c r="A41" s="181" t="s">
        <v>750</v>
      </c>
      <c r="B41" s="172"/>
      <c r="C41" s="172"/>
      <c r="D41" s="172"/>
      <c r="E41" s="172"/>
      <c r="F41" s="172"/>
      <c r="G41" s="189"/>
      <c r="H41" s="189"/>
      <c r="I41" s="189"/>
      <c r="J41" s="180"/>
    </row>
    <row r="42" spans="1:11">
      <c r="A42" s="166" t="s">
        <v>595</v>
      </c>
      <c r="B42" s="162"/>
      <c r="C42" s="502"/>
      <c r="D42" s="162"/>
      <c r="E42" s="232">
        <f>'Uppgradering MCS_VH'!B9</f>
        <v>2.8651042486259817</v>
      </c>
      <c r="F42" s="162" t="s">
        <v>749</v>
      </c>
      <c r="G42" s="189"/>
      <c r="H42" s="189"/>
      <c r="I42" s="189"/>
      <c r="J42" s="180"/>
    </row>
    <row r="43" spans="1:11">
      <c r="A43" s="224"/>
      <c r="B43" s="162"/>
      <c r="C43" s="172"/>
      <c r="D43" s="189"/>
      <c r="E43" s="189"/>
      <c r="F43" s="172"/>
      <c r="G43" s="189"/>
      <c r="H43" s="189"/>
      <c r="I43" s="189"/>
      <c r="J43" s="180"/>
    </row>
    <row r="44" spans="1:11">
      <c r="A44" s="166" t="s">
        <v>597</v>
      </c>
      <c r="B44" s="162"/>
      <c r="C44" s="502"/>
      <c r="D44" s="162"/>
      <c r="E44" s="232">
        <f>'Uppgradering MCS_VH'!B10</f>
        <v>0.36103771335414259</v>
      </c>
      <c r="F44" s="162" t="s">
        <v>749</v>
      </c>
      <c r="G44" s="189"/>
      <c r="H44" s="189"/>
      <c r="I44" s="189"/>
      <c r="J44" s="180"/>
    </row>
    <row r="45" spans="1:11">
      <c r="A45" s="505"/>
      <c r="B45" s="162"/>
      <c r="C45" s="172"/>
      <c r="D45" s="189"/>
      <c r="E45" s="189"/>
      <c r="F45" s="172"/>
      <c r="G45" s="189"/>
      <c r="H45" s="189"/>
      <c r="I45" s="189"/>
      <c r="J45" s="180"/>
    </row>
    <row r="46" spans="1:11">
      <c r="A46" s="181" t="s">
        <v>146</v>
      </c>
      <c r="B46" s="172"/>
      <c r="C46" s="172"/>
      <c r="D46" s="172"/>
      <c r="E46" s="172"/>
      <c r="F46" s="172"/>
      <c r="G46" s="189"/>
      <c r="H46" s="189"/>
      <c r="I46" s="189"/>
      <c r="J46" s="180"/>
    </row>
    <row r="47" spans="1:11">
      <c r="A47" s="166" t="s">
        <v>757</v>
      </c>
      <c r="B47" s="213"/>
      <c r="C47" s="216"/>
      <c r="D47" s="162"/>
      <c r="E47" s="230">
        <f>'Uppgradering MCS_VH'!B12</f>
        <v>0.1219478707197847</v>
      </c>
      <c r="F47" s="162" t="s">
        <v>751</v>
      </c>
      <c r="G47" s="189"/>
      <c r="H47" s="189"/>
      <c r="I47" s="189"/>
      <c r="J47" s="180"/>
    </row>
    <row r="48" spans="1:11">
      <c r="A48" s="224"/>
      <c r="B48" s="172"/>
      <c r="C48" s="172"/>
      <c r="D48" s="172"/>
      <c r="E48" s="172"/>
      <c r="F48" s="172"/>
      <c r="G48" s="189"/>
      <c r="H48" s="189"/>
      <c r="I48" s="189"/>
      <c r="J48" s="180"/>
    </row>
    <row r="49" spans="1:10">
      <c r="A49" s="166" t="s">
        <v>501</v>
      </c>
      <c r="B49" s="172"/>
      <c r="C49" s="502"/>
      <c r="D49" s="162"/>
      <c r="E49" s="230">
        <f>'Uppgradering MCS_VH'!B13</f>
        <v>7.617737770675588E-2</v>
      </c>
      <c r="F49" s="162" t="s">
        <v>751</v>
      </c>
      <c r="G49" s="189"/>
      <c r="H49" s="189"/>
      <c r="I49" s="189"/>
      <c r="J49" s="180"/>
    </row>
    <row r="50" spans="1:10">
      <c r="A50" s="224"/>
      <c r="B50" s="172"/>
      <c r="C50" s="172"/>
      <c r="D50" s="172"/>
      <c r="E50" s="172"/>
      <c r="F50" s="172"/>
      <c r="G50" s="189"/>
      <c r="H50" s="189"/>
      <c r="I50" s="189"/>
      <c r="J50" s="180"/>
    </row>
    <row r="51" spans="1:10">
      <c r="A51" s="166" t="s">
        <v>60</v>
      </c>
      <c r="B51" s="172"/>
      <c r="C51" s="216"/>
      <c r="D51" s="172"/>
      <c r="E51" s="506">
        <f>'Uppgradering MCS_VH'!B14</f>
        <v>4.5706426624053526E-3</v>
      </c>
      <c r="F51" s="162" t="s">
        <v>751</v>
      </c>
      <c r="G51" s="189"/>
      <c r="H51" s="189"/>
      <c r="I51" s="189"/>
      <c r="J51" s="180"/>
    </row>
    <row r="52" spans="1:10">
      <c r="A52" s="166"/>
      <c r="B52" s="162"/>
      <c r="C52" s="189"/>
      <c r="D52" s="162"/>
      <c r="E52" s="189"/>
      <c r="F52" s="190"/>
      <c r="G52" s="189"/>
      <c r="H52" s="189"/>
      <c r="I52" s="189"/>
      <c r="J52" s="180"/>
    </row>
    <row r="53" spans="1:10">
      <c r="A53" s="181" t="s">
        <v>129</v>
      </c>
      <c r="B53" s="162"/>
      <c r="C53" s="189"/>
      <c r="D53" s="162"/>
      <c r="E53" s="189"/>
      <c r="F53" s="190"/>
      <c r="G53" s="189"/>
      <c r="H53" s="189"/>
      <c r="I53" s="189"/>
      <c r="J53" s="180"/>
    </row>
    <row r="54" spans="1:10">
      <c r="A54" s="166" t="s">
        <v>43</v>
      </c>
      <c r="B54" s="162"/>
      <c r="C54" s="162"/>
      <c r="D54" s="162"/>
      <c r="E54" s="232">
        <f>'Uppgradering MCS_VH'!B16</f>
        <v>0.71477099958518742</v>
      </c>
      <c r="F54" s="162" t="s">
        <v>752</v>
      </c>
      <c r="G54" s="189"/>
      <c r="H54" s="189"/>
      <c r="I54" s="189"/>
      <c r="J54" s="180"/>
    </row>
    <row r="55" spans="1:10">
      <c r="A55" s="166"/>
      <c r="B55" s="162"/>
      <c r="C55" s="162"/>
      <c r="D55" s="162"/>
      <c r="E55" s="189"/>
      <c r="F55" s="172"/>
      <c r="G55" s="189"/>
      <c r="H55" s="189"/>
      <c r="I55" s="189"/>
      <c r="J55" s="180"/>
    </row>
    <row r="56" spans="1:10">
      <c r="A56" s="166" t="s">
        <v>152</v>
      </c>
      <c r="B56" s="162"/>
      <c r="C56" s="162"/>
      <c r="D56" s="162"/>
      <c r="E56" s="230">
        <f>'Uppgradering MCS_VH'!B17</f>
        <v>0.15604320279008274</v>
      </c>
      <c r="F56" s="162" t="s">
        <v>752</v>
      </c>
      <c r="G56" s="189"/>
      <c r="H56" s="189"/>
      <c r="I56" s="189"/>
      <c r="J56" s="180"/>
    </row>
    <row r="57" spans="1:10">
      <c r="A57" s="348"/>
      <c r="B57" s="162"/>
      <c r="C57" s="162"/>
      <c r="D57" s="162"/>
      <c r="E57" s="189"/>
      <c r="F57" s="172"/>
      <c r="G57" s="189"/>
      <c r="H57" s="189"/>
      <c r="I57" s="189"/>
      <c r="J57" s="180"/>
    </row>
    <row r="58" spans="1:10">
      <c r="A58" s="166" t="s">
        <v>135</v>
      </c>
      <c r="B58" s="162"/>
      <c r="C58" s="162"/>
      <c r="D58" s="162"/>
      <c r="E58" s="230">
        <f>'Uppgradering MCS_VH'!B18</f>
        <v>0.37050898070477239</v>
      </c>
      <c r="F58" s="162" t="s">
        <v>753</v>
      </c>
      <c r="G58" s="189"/>
      <c r="H58" s="189"/>
      <c r="I58" s="189"/>
      <c r="J58" s="180"/>
    </row>
    <row r="59" spans="1:10">
      <c r="A59" s="161"/>
      <c r="B59" s="189"/>
      <c r="C59" s="189"/>
      <c r="D59" s="189"/>
      <c r="E59" s="189"/>
      <c r="F59" s="189"/>
      <c r="G59" s="189"/>
      <c r="H59" s="189"/>
      <c r="I59" s="189"/>
      <c r="J59" s="180"/>
    </row>
    <row r="60" spans="1:10">
      <c r="A60" s="161"/>
      <c r="B60" s="189"/>
      <c r="C60" s="189"/>
      <c r="D60" s="189"/>
      <c r="E60" s="189"/>
      <c r="F60" s="189"/>
      <c r="G60" s="189"/>
      <c r="H60" s="189"/>
      <c r="I60" s="189"/>
      <c r="J60" s="180"/>
    </row>
    <row r="61" spans="1:10">
      <c r="A61" s="229"/>
      <c r="B61" s="192"/>
      <c r="C61" s="192"/>
      <c r="D61" s="192"/>
      <c r="E61" s="192"/>
      <c r="F61" s="192"/>
      <c r="G61" s="192"/>
      <c r="H61" s="192"/>
      <c r="I61" s="192"/>
      <c r="J61" s="193"/>
    </row>
  </sheetData>
  <mergeCells count="2">
    <mergeCell ref="A1:J1"/>
    <mergeCell ref="A2:J2"/>
  </mergeCells>
  <pageMargins left="0.7" right="0.7" top="0.75" bottom="0.75" header="0.3" footer="0.3"/>
  <headerFooter>
    <oddHeader xml:space="preserve">&amp;C </oddHeader>
    <oddFooter xml:space="preserve">&amp;C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T92"/>
  <sheetViews>
    <sheetView zoomScaleNormal="100" zoomScalePageLayoutView="110" workbookViewId="0">
      <selection activeCell="B5" sqref="B5"/>
    </sheetView>
  </sheetViews>
  <sheetFormatPr defaultColWidth="8.875" defaultRowHeight="15.75"/>
  <cols>
    <col min="1" max="1" width="44.125" customWidth="1"/>
    <col min="2" max="2" width="11.875" customWidth="1"/>
    <col min="3" max="3" width="14.5" customWidth="1"/>
    <col min="4" max="4" width="16.625" customWidth="1"/>
    <col min="5" max="5" width="12.875" customWidth="1"/>
    <col min="6" max="6" width="16.625" customWidth="1"/>
    <col min="7" max="7" width="32.125" customWidth="1"/>
    <col min="8" max="8" width="11" bestFit="1" customWidth="1"/>
    <col min="9" max="9" width="13.625" customWidth="1"/>
    <col min="10" max="10" width="15" customWidth="1"/>
    <col min="11" max="11" width="14.875" bestFit="1" customWidth="1"/>
    <col min="12" max="13" width="11.875" bestFit="1" customWidth="1"/>
    <col min="14" max="14" width="31.125" customWidth="1"/>
    <col min="15" max="15" width="11" customWidth="1"/>
    <col min="16" max="16" width="13.875" customWidth="1"/>
    <col min="17" max="17" width="16.375" customWidth="1"/>
    <col min="18" max="18" width="11.25" customWidth="1"/>
    <col min="21" max="21" width="9" customWidth="1"/>
  </cols>
  <sheetData>
    <row r="1" spans="1:20" ht="29.1" customHeight="1">
      <c r="A1" s="150" t="s">
        <v>299</v>
      </c>
      <c r="G1" s="145" t="s">
        <v>294</v>
      </c>
      <c r="H1" s="145"/>
      <c r="I1" s="145"/>
      <c r="J1" s="145"/>
      <c r="K1" s="145"/>
      <c r="L1" s="145"/>
      <c r="M1" s="145"/>
      <c r="N1" s="149" t="s">
        <v>298</v>
      </c>
      <c r="O1" s="145"/>
      <c r="P1" s="145"/>
      <c r="Q1" s="145"/>
      <c r="R1" s="145"/>
      <c r="S1" s="145"/>
      <c r="T1" s="145"/>
    </row>
    <row r="2" spans="1:20">
      <c r="A2" t="s">
        <v>786</v>
      </c>
      <c r="G2" t="s">
        <v>786</v>
      </c>
      <c r="N2" t="s">
        <v>786</v>
      </c>
    </row>
    <row r="3" spans="1:20">
      <c r="A3" s="82" t="s">
        <v>226</v>
      </c>
      <c r="B3" s="15" t="s">
        <v>300</v>
      </c>
      <c r="D3" t="s">
        <v>829</v>
      </c>
      <c r="G3" s="82" t="s">
        <v>226</v>
      </c>
      <c r="H3" s="15" t="s">
        <v>300</v>
      </c>
      <c r="J3" t="s">
        <v>829</v>
      </c>
      <c r="N3" s="82" t="s">
        <v>226</v>
      </c>
      <c r="O3" s="15" t="s">
        <v>300</v>
      </c>
      <c r="Q3" t="s">
        <v>829</v>
      </c>
    </row>
    <row r="4" spans="1:20">
      <c r="A4" s="81" t="s">
        <v>50</v>
      </c>
      <c r="B4" s="84">
        <f>H4+O4</f>
        <v>58.308190440504582</v>
      </c>
      <c r="C4" t="s">
        <v>233</v>
      </c>
      <c r="D4" s="22">
        <f>B4*C$52</f>
        <v>1239.7116451285603</v>
      </c>
      <c r="E4" t="s">
        <v>233</v>
      </c>
      <c r="F4" s="22">
        <f>D4</f>
        <v>1239.7116451285603</v>
      </c>
      <c r="G4" s="81" t="s">
        <v>50</v>
      </c>
      <c r="H4" s="84">
        <f>'Komplettering MCS_kö'!B10</f>
        <v>52.331169439756422</v>
      </c>
      <c r="I4" t="s">
        <v>233</v>
      </c>
      <c r="J4" s="22">
        <f>H4*C$52</f>
        <v>1112.6320276369815</v>
      </c>
      <c r="K4" t="s">
        <v>233</v>
      </c>
      <c r="L4" s="22">
        <f>J4</f>
        <v>1112.6320276369815</v>
      </c>
      <c r="N4" s="81" t="s">
        <v>50</v>
      </c>
      <c r="O4" s="84">
        <f>'Uppgradering MCS_VH'!B11</f>
        <v>5.9770210007481586</v>
      </c>
      <c r="P4" t="s">
        <v>233</v>
      </c>
      <c r="Q4" s="22">
        <f>O4*C$52</f>
        <v>127.0796174915788</v>
      </c>
      <c r="R4" t="s">
        <v>233</v>
      </c>
      <c r="S4" s="22">
        <f>Q4</f>
        <v>127.0796174915788</v>
      </c>
    </row>
    <row r="5" spans="1:20">
      <c r="A5" s="20" t="s">
        <v>51</v>
      </c>
      <c r="B5" s="84">
        <f>H5+O5</f>
        <v>8.4649856926713216</v>
      </c>
      <c r="C5" t="s">
        <v>146</v>
      </c>
      <c r="D5" s="22">
        <f>B5*C$52</f>
        <v>179.97713974264227</v>
      </c>
      <c r="E5" t="s">
        <v>146</v>
      </c>
      <c r="F5" s="22">
        <f>D5</f>
        <v>179.97713974264227</v>
      </c>
      <c r="G5" s="20" t="s">
        <v>51</v>
      </c>
      <c r="H5" s="84">
        <f>'Komplettering MCS_kö'!B16</f>
        <v>7.0526571099880684</v>
      </c>
      <c r="I5" t="s">
        <v>146</v>
      </c>
      <c r="J5" s="22">
        <f>H5*C$52</f>
        <v>149.94910804635981</v>
      </c>
      <c r="K5" t="s">
        <v>146</v>
      </c>
      <c r="L5" s="22">
        <f>J5</f>
        <v>149.94910804635981</v>
      </c>
      <c r="N5" s="20" t="s">
        <v>51</v>
      </c>
      <c r="O5" s="84">
        <f>'Uppgradering MCS_VH'!B15</f>
        <v>1.4123285826832539</v>
      </c>
      <c r="P5" t="s">
        <v>146</v>
      </c>
      <c r="Q5" s="22">
        <f>O5*C$52</f>
        <v>30.028031696282447</v>
      </c>
      <c r="R5" t="s">
        <v>146</v>
      </c>
      <c r="S5" s="22">
        <f>Q5</f>
        <v>30.028031696282447</v>
      </c>
    </row>
    <row r="6" spans="1:20">
      <c r="A6" s="61" t="s">
        <v>132</v>
      </c>
      <c r="B6" s="84">
        <f t="shared" ref="B6" si="0">H6+O6</f>
        <v>3.7091335927919711</v>
      </c>
      <c r="C6" t="s">
        <v>129</v>
      </c>
      <c r="D6" s="22">
        <f>B6*E52</f>
        <v>59.426358893116593</v>
      </c>
      <c r="E6" t="s">
        <v>129</v>
      </c>
      <c r="F6" s="22">
        <f>D6</f>
        <v>59.426358893116593</v>
      </c>
      <c r="G6" s="61" t="s">
        <v>132</v>
      </c>
      <c r="H6" s="84">
        <f>'Komplettering MCS_kö'!B21</f>
        <v>1.1155707278585645</v>
      </c>
      <c r="I6" t="s">
        <v>129</v>
      </c>
      <c r="J6" s="22">
        <f>H6*E52</f>
        <v>17.873259289773042</v>
      </c>
      <c r="K6" t="s">
        <v>129</v>
      </c>
      <c r="L6" s="22">
        <f>J6</f>
        <v>17.873259289773042</v>
      </c>
      <c r="N6" s="61" t="s">
        <v>132</v>
      </c>
      <c r="O6" s="84">
        <f>'Uppgradering MCS_VH'!B19</f>
        <v>2.5935628649334066</v>
      </c>
      <c r="P6" t="s">
        <v>129</v>
      </c>
      <c r="Q6" s="22">
        <f>O6*E52</f>
        <v>41.553099603343554</v>
      </c>
      <c r="R6" t="s">
        <v>129</v>
      </c>
      <c r="S6" s="22">
        <f>Q6</f>
        <v>41.553099603343554</v>
      </c>
    </row>
    <row r="7" spans="1:20">
      <c r="A7" s="83" t="s">
        <v>227</v>
      </c>
      <c r="B7" s="84"/>
      <c r="D7" t="s">
        <v>832</v>
      </c>
      <c r="G7" s="83" t="s">
        <v>227</v>
      </c>
      <c r="H7" s="84"/>
      <c r="J7" t="s">
        <v>832</v>
      </c>
      <c r="N7" s="83" t="s">
        <v>227</v>
      </c>
      <c r="O7" s="84"/>
      <c r="Q7" t="s">
        <v>832</v>
      </c>
    </row>
    <row r="8" spans="1:20">
      <c r="A8" s="50" t="s">
        <v>127</v>
      </c>
      <c r="B8" s="84"/>
      <c r="C8" t="s">
        <v>127</v>
      </c>
      <c r="D8" s="22">
        <f>J8+Q8</f>
        <v>87.914000000000001</v>
      </c>
      <c r="E8" t="s">
        <v>127</v>
      </c>
      <c r="F8" s="22">
        <f>-D8</f>
        <v>-87.914000000000001</v>
      </c>
      <c r="G8" s="50" t="s">
        <v>127</v>
      </c>
      <c r="H8" s="84"/>
      <c r="I8" t="s">
        <v>127</v>
      </c>
      <c r="J8" s="22">
        <f>'Komplettering MCS_kö'!D22</f>
        <v>70.738</v>
      </c>
      <c r="K8" t="s">
        <v>127</v>
      </c>
      <c r="L8" s="22">
        <f>-J8</f>
        <v>-70.738</v>
      </c>
      <c r="N8" s="50" t="s">
        <v>127</v>
      </c>
      <c r="O8" s="84"/>
      <c r="P8" t="s">
        <v>127</v>
      </c>
      <c r="Q8" s="22">
        <f>'Uppgradering MCS_VH'!D20</f>
        <v>17.176000000000002</v>
      </c>
      <c r="R8" t="s">
        <v>127</v>
      </c>
      <c r="S8" s="22">
        <f>-Q8</f>
        <v>-17.176000000000002</v>
      </c>
    </row>
    <row r="9" spans="1:20">
      <c r="A9" s="50" t="s">
        <v>147</v>
      </c>
      <c r="B9" s="84">
        <f>H9+O9</f>
        <v>7.0060000000000002</v>
      </c>
      <c r="C9" t="s">
        <v>93</v>
      </c>
      <c r="D9" s="22">
        <f>B9*E52</f>
        <v>112.24752627251235</v>
      </c>
      <c r="E9" t="s">
        <v>93</v>
      </c>
      <c r="F9" s="22">
        <f>-D9</f>
        <v>-112.24752627251235</v>
      </c>
      <c r="G9" s="50" t="s">
        <v>147</v>
      </c>
      <c r="H9" s="84">
        <f>'Komplettering MCS_kö'!D24</f>
        <v>5.8760000000000003</v>
      </c>
      <c r="I9" t="s">
        <v>93</v>
      </c>
      <c r="J9" s="22">
        <f>H9*E52</f>
        <v>94.14308655113939</v>
      </c>
      <c r="K9" t="s">
        <v>93</v>
      </c>
      <c r="L9" s="22">
        <f>-J9</f>
        <v>-94.14308655113939</v>
      </c>
      <c r="N9" s="50" t="s">
        <v>147</v>
      </c>
      <c r="O9" s="84">
        <f>'Uppgradering MCS_VH'!D21</f>
        <v>1.1300000000000001</v>
      </c>
      <c r="P9" t="s">
        <v>93</v>
      </c>
      <c r="Q9" s="22">
        <f>O9*E52</f>
        <v>18.104439721372959</v>
      </c>
      <c r="R9" t="s">
        <v>93</v>
      </c>
      <c r="S9" s="22">
        <f>-Q9</f>
        <v>-18.104439721372959</v>
      </c>
    </row>
    <row r="10" spans="1:20">
      <c r="A10" s="50" t="s">
        <v>656</v>
      </c>
      <c r="B10" s="84">
        <f>H10+O10</f>
        <v>20.622500000000002</v>
      </c>
      <c r="D10" s="22">
        <f>B10</f>
        <v>20.622500000000002</v>
      </c>
      <c r="E10" t="s">
        <v>656</v>
      </c>
      <c r="F10" s="22">
        <f>D10</f>
        <v>20.622500000000002</v>
      </c>
      <c r="G10" s="50" t="s">
        <v>656</v>
      </c>
      <c r="H10" s="84">
        <f>'MCS Indata &amp; Resultat'!C48</f>
        <v>20.622500000000002</v>
      </c>
      <c r="J10" s="22">
        <f>H10*F52</f>
        <v>0</v>
      </c>
      <c r="K10" t="s">
        <v>656</v>
      </c>
      <c r="L10" s="22">
        <f>J10</f>
        <v>0</v>
      </c>
      <c r="N10" s="50" t="s">
        <v>656</v>
      </c>
      <c r="O10" s="84">
        <v>0</v>
      </c>
      <c r="Q10" s="22">
        <f>O10*F52</f>
        <v>0</v>
      </c>
      <c r="R10" t="s">
        <v>656</v>
      </c>
      <c r="S10" s="22">
        <f>Q10</f>
        <v>0</v>
      </c>
    </row>
    <row r="11" spans="1:20">
      <c r="A11" s="306" t="s">
        <v>655</v>
      </c>
      <c r="B11" s="84"/>
      <c r="D11" s="22">
        <f>J11+Q11</f>
        <v>121.60228187031245</v>
      </c>
      <c r="E11" t="s">
        <v>321</v>
      </c>
      <c r="F11" s="22">
        <f>-((D8+D9-D10)*'ASEK 7.1'!$B$6-(D8+D9-D10))</f>
        <v>-53.861707881753716</v>
      </c>
      <c r="G11" s="306" t="s">
        <v>655</v>
      </c>
      <c r="H11" s="84"/>
      <c r="J11" s="22">
        <f>'Kapitaliserad inv kost'!E28-J10*'ASEK 7.1'!$B$6</f>
        <v>97.844509576883794</v>
      </c>
      <c r="K11" t="s">
        <v>321</v>
      </c>
      <c r="L11" s="22">
        <f>-((J8+J9-J10)*'ASEK 7.1'!$B$6-(J8+J9-J10))</f>
        <v>-49.464325965341828</v>
      </c>
      <c r="N11" s="306" t="s">
        <v>655</v>
      </c>
      <c r="O11" s="84"/>
      <c r="Q11" s="22">
        <f>'Kapitaliserad inv kost'!L28-Q10*'ASEK 7.1'!$B$6</f>
        <v>23.757772293428655</v>
      </c>
      <c r="R11" t="s">
        <v>321</v>
      </c>
      <c r="S11" s="22">
        <f>-((Q8+Q9-Q10)*'ASEK 7.1'!$B$6-(Q8+Q9-Q10))</f>
        <v>-10.584131916411891</v>
      </c>
    </row>
    <row r="12" spans="1:20">
      <c r="A12" s="306" t="s">
        <v>654</v>
      </c>
      <c r="B12" s="84"/>
      <c r="D12" s="22">
        <f>J12+Q12</f>
        <v>145.92178415426605</v>
      </c>
      <c r="F12" s="22"/>
      <c r="G12" s="306" t="s">
        <v>654</v>
      </c>
      <c r="H12" s="84"/>
      <c r="J12" s="22">
        <f>J9*'ASEK 7.1'!$B$6</f>
        <v>122.38601251648122</v>
      </c>
      <c r="K12" s="22"/>
      <c r="L12" s="22"/>
      <c r="N12" s="306" t="s">
        <v>654</v>
      </c>
      <c r="O12" s="84"/>
      <c r="Q12" s="22">
        <f>Q9*'ASEK 7.1'!$B$6</f>
        <v>23.535771637784848</v>
      </c>
      <c r="S12" s="22"/>
    </row>
    <row r="13" spans="1:20">
      <c r="A13" t="s">
        <v>148</v>
      </c>
      <c r="D13" s="22">
        <f>(D4+D5+D6-D11-D12)</f>
        <v>1211.5910777397407</v>
      </c>
      <c r="G13" t="s">
        <v>148</v>
      </c>
      <c r="J13" s="22">
        <f>(J4+J5+J6-J11-J12)</f>
        <v>1060.2238728797493</v>
      </c>
      <c r="K13" s="84"/>
      <c r="N13" t="s">
        <v>148</v>
      </c>
      <c r="Q13" s="22">
        <f>(Q4+Q5+Q6-Q11-Q12)</f>
        <v>151.36720485999132</v>
      </c>
      <c r="R13" s="84"/>
    </row>
    <row r="14" spans="1:20" s="151" customFormat="1" ht="14.25" customHeight="1">
      <c r="A14" s="151" t="s">
        <v>149</v>
      </c>
      <c r="D14" s="153">
        <f>(D13)/(D11+D12)</f>
        <v>4.5289049906576526</v>
      </c>
      <c r="G14" s="151" t="s">
        <v>149</v>
      </c>
      <c r="J14" s="152">
        <f>(J13)/(J11+J12)</f>
        <v>4.814155017215441</v>
      </c>
      <c r="K14" s="153"/>
      <c r="N14" s="151" t="s">
        <v>149</v>
      </c>
      <c r="Q14" s="152">
        <f>(Q13)/(Q11+Q12)</f>
        <v>3.2005891772489838</v>
      </c>
      <c r="R14" s="153"/>
    </row>
    <row r="15" spans="1:20" s="151" customFormat="1" ht="0.75" customHeight="1">
      <c r="A15" s="538" t="s">
        <v>628</v>
      </c>
      <c r="D15" s="153">
        <f>D13/D11</f>
        <v>9.9635554457102202</v>
      </c>
      <c r="G15" s="565" t="s">
        <v>628</v>
      </c>
      <c r="J15" s="152">
        <f>J13/J11</f>
        <v>10.835803434086934</v>
      </c>
      <c r="K15" s="153"/>
      <c r="N15" s="538" t="s">
        <v>628</v>
      </c>
      <c r="Q15" s="539">
        <f>Q13/Q11</f>
        <v>6.3712709672640111</v>
      </c>
      <c r="R15" s="153"/>
    </row>
    <row r="16" spans="1:20">
      <c r="A16" t="s">
        <v>228</v>
      </c>
      <c r="B16" s="86">
        <f>'ASEK 7.1'!B4</f>
        <v>3.5000000000000003E-2</v>
      </c>
      <c r="G16" t="s">
        <v>228</v>
      </c>
      <c r="H16" s="86">
        <f>'ASEK 7.1'!B4</f>
        <v>3.5000000000000003E-2</v>
      </c>
      <c r="N16" t="s">
        <v>228</v>
      </c>
      <c r="O16" s="86">
        <f>'ASEK 7.1'!B4</f>
        <v>3.5000000000000003E-2</v>
      </c>
    </row>
    <row r="17" spans="1:15">
      <c r="A17" t="s">
        <v>232</v>
      </c>
      <c r="B17" s="86">
        <f>'ASEK 7.1'!B5</f>
        <v>1.4999999999999999E-2</v>
      </c>
      <c r="G17" t="s">
        <v>232</v>
      </c>
      <c r="H17" s="86">
        <f>'ASEK 7.1'!B5</f>
        <v>1.4999999999999999E-2</v>
      </c>
      <c r="N17" t="s">
        <v>232</v>
      </c>
      <c r="O17">
        <f>'ASEK 7.1'!B5</f>
        <v>1.4999999999999999E-2</v>
      </c>
    </row>
    <row r="18" spans="1:15">
      <c r="A18" t="s">
        <v>788</v>
      </c>
      <c r="B18" s="159">
        <f>'ASEK 7.1'!D17/100</f>
        <v>1.4042396126350925E-2</v>
      </c>
      <c r="D18" s="159"/>
      <c r="G18" t="s">
        <v>836</v>
      </c>
      <c r="H18" s="159">
        <f>'ASEK 7.1'!D17/100</f>
        <v>1.4042396126350925E-2</v>
      </c>
      <c r="N18" t="s">
        <v>788</v>
      </c>
      <c r="O18" s="159">
        <f>'ASEK 7.1'!D17/100</f>
        <v>1.4042396126350925E-2</v>
      </c>
    </row>
    <row r="19" spans="1:15">
      <c r="A19" t="s">
        <v>835</v>
      </c>
      <c r="B19" s="159">
        <f>'ASEK 7.1'!E17/100</f>
        <v>6.2527946687178475E-3</v>
      </c>
      <c r="G19" t="s">
        <v>835</v>
      </c>
      <c r="H19" s="159">
        <f>'ASEK 7.1'!E17/100</f>
        <v>6.2527946687178475E-3</v>
      </c>
      <c r="N19" t="s">
        <v>789</v>
      </c>
      <c r="O19" s="159">
        <f>'ASEK 7.1'!E17/100</f>
        <v>6.2527946687178475E-3</v>
      </c>
    </row>
    <row r="20" spans="1:15">
      <c r="H20" s="86"/>
    </row>
    <row r="21" spans="1:15">
      <c r="H21" s="86"/>
    </row>
    <row r="22" spans="1:15">
      <c r="H22" s="86"/>
    </row>
    <row r="23" spans="1:15">
      <c r="H23" s="86"/>
    </row>
    <row r="24" spans="1:15">
      <c r="H24" s="86"/>
    </row>
    <row r="25" spans="1:15">
      <c r="H25" s="86"/>
    </row>
    <row r="26" spans="1:15">
      <c r="H26" s="86"/>
    </row>
    <row r="27" spans="1:15">
      <c r="H27" s="86"/>
    </row>
    <row r="28" spans="1:15">
      <c r="H28" s="86"/>
    </row>
    <row r="29" spans="1:15">
      <c r="H29" s="86"/>
    </row>
    <row r="30" spans="1:15">
      <c r="H30" s="86"/>
    </row>
    <row r="31" spans="1:15">
      <c r="H31" s="86"/>
    </row>
    <row r="32" spans="1:15">
      <c r="H32" s="86"/>
    </row>
    <row r="33" spans="2:8">
      <c r="H33" s="86"/>
    </row>
    <row r="34" spans="2:8">
      <c r="H34" s="86"/>
    </row>
    <row r="35" spans="2:8">
      <c r="H35" s="86"/>
    </row>
    <row r="36" spans="2:8">
      <c r="H36" s="86"/>
    </row>
    <row r="37" spans="2:8">
      <c r="H37" s="86"/>
    </row>
    <row r="38" spans="2:8">
      <c r="H38" s="86"/>
    </row>
    <row r="39" spans="2:8">
      <c r="H39" s="86"/>
    </row>
    <row r="40" spans="2:8">
      <c r="H40" s="86"/>
    </row>
    <row r="41" spans="2:8">
      <c r="H41" s="86"/>
    </row>
    <row r="42" spans="2:8">
      <c r="H42" s="86"/>
    </row>
    <row r="43" spans="2:8">
      <c r="H43" s="86"/>
    </row>
    <row r="44" spans="2:8">
      <c r="H44" s="86"/>
    </row>
    <row r="45" spans="2:8">
      <c r="H45" s="86"/>
    </row>
    <row r="46" spans="2:8">
      <c r="H46" s="86"/>
    </row>
    <row r="47" spans="2:8">
      <c r="B47">
        <v>2017</v>
      </c>
      <c r="H47" s="86"/>
    </row>
    <row r="48" spans="2:8">
      <c r="B48">
        <v>2025</v>
      </c>
      <c r="H48" s="86"/>
    </row>
    <row r="49" spans="1:8">
      <c r="B49">
        <f>(1+H17)^(B48-B47)</f>
        <v>1.1264925865953057</v>
      </c>
      <c r="H49" s="86"/>
    </row>
    <row r="50" spans="1:8">
      <c r="H50" s="86"/>
    </row>
    <row r="51" spans="1:8">
      <c r="A51" t="s">
        <v>229</v>
      </c>
      <c r="B51" s="147" t="s">
        <v>295</v>
      </c>
      <c r="C51" s="146" t="s">
        <v>837</v>
      </c>
      <c r="D51" s="147" t="s">
        <v>296</v>
      </c>
      <c r="E51" s="146" t="s">
        <v>838</v>
      </c>
      <c r="F51" s="146" t="s">
        <v>707</v>
      </c>
    </row>
    <row r="52" spans="1:8">
      <c r="A52" t="s">
        <v>231</v>
      </c>
      <c r="C52" s="84">
        <f>SUM(C53:C72)</f>
        <v>21.261363725453187</v>
      </c>
      <c r="E52" s="84">
        <f>SUM(E53:E72)</f>
        <v>16.021628072011467</v>
      </c>
      <c r="F52" s="460"/>
    </row>
    <row r="53" spans="1:8">
      <c r="A53" s="85">
        <v>1</v>
      </c>
      <c r="B53" s="340">
        <f>B49*(1+H17)*(1+H18)</f>
        <v>1.1594459103556196</v>
      </c>
      <c r="C53" s="84">
        <f>B53/(1+H$16)^A53</f>
        <v>1.1202375945464924</v>
      </c>
      <c r="D53">
        <f>1</f>
        <v>1</v>
      </c>
      <c r="E53" s="84">
        <f t="shared" ref="E53:E72" si="1">D53/(1+H$16)^A53</f>
        <v>0.96618357487922713</v>
      </c>
    </row>
    <row r="54" spans="1:8">
      <c r="A54" s="85">
        <v>2</v>
      </c>
      <c r="B54" s="84">
        <f>B53*(1+H$17)*IF(A54&lt;20,(1+H$18),(1+H$19))</f>
        <v>1.1933632187526495</v>
      </c>
      <c r="C54" s="84">
        <f>B54/(1+H$16)^A54</f>
        <v>1.1140173341292909</v>
      </c>
      <c r="D54" s="84">
        <f>1*(1+H$18)</f>
        <v>1.0140423961263509</v>
      </c>
      <c r="E54" s="84">
        <f t="shared" si="1"/>
        <v>0.94661942740913541</v>
      </c>
    </row>
    <row r="55" spans="1:8">
      <c r="A55" s="85">
        <v>3</v>
      </c>
      <c r="B55" s="84">
        <f t="shared" ref="B55:B72" si="2">B54*(1+H$17)*IF(A54&lt;20,(1+H$18),(1+H$19))</f>
        <v>1.2282727112598861</v>
      </c>
      <c r="C55" s="84">
        <f t="shared" ref="C55:C72" si="3">B55/(1+H$16)^A55</f>
        <v>1.1078316124919394</v>
      </c>
      <c r="D55" s="84">
        <f t="shared" ref="D55:D72" si="4">D54*IF(A54&lt;20,(1+H$18),(1+H$19))</f>
        <v>1.0282819811416712</v>
      </c>
      <c r="E55" s="84">
        <f t="shared" si="1"/>
        <v>0.92745143226059334</v>
      </c>
    </row>
    <row r="56" spans="1:8">
      <c r="A56" s="85">
        <v>4</v>
      </c>
      <c r="B56" s="84">
        <f t="shared" si="2"/>
        <v>1.2642034122709231</v>
      </c>
      <c r="C56" s="84">
        <f t="shared" si="3"/>
        <v>1.10168023785351</v>
      </c>
      <c r="D56" s="84">
        <f t="shared" si="4"/>
        <v>1.0427215240504515</v>
      </c>
      <c r="E56" s="84">
        <f t="shared" si="1"/>
        <v>0.90867156778777602</v>
      </c>
    </row>
    <row r="57" spans="1:8">
      <c r="A57" s="85">
        <v>5</v>
      </c>
      <c r="B57" s="84">
        <f t="shared" si="2"/>
        <v>1.3011851952308706</v>
      </c>
      <c r="C57" s="84">
        <f t="shared" si="3"/>
        <v>1.0955630194979631</v>
      </c>
      <c r="D57" s="84">
        <f t="shared" si="4"/>
        <v>1.0573638327406403</v>
      </c>
      <c r="E57" s="84">
        <f t="shared" si="1"/>
        <v>0.89027197477430375</v>
      </c>
    </row>
    <row r="58" spans="1:8">
      <c r="A58" s="85">
        <v>6</v>
      </c>
      <c r="B58" s="84">
        <f t="shared" si="2"/>
        <v>1.3392488074736864</v>
      </c>
      <c r="C58" s="84">
        <f t="shared" si="3"/>
        <v>1.0894797677682333</v>
      </c>
      <c r="D58" s="84">
        <f t="shared" si="4"/>
        <v>1.072211754529661</v>
      </c>
      <c r="E58" s="84">
        <f t="shared" si="1"/>
        <v>0.87224495314422523</v>
      </c>
    </row>
    <row r="59" spans="1:8">
      <c r="A59" s="85">
        <v>7</v>
      </c>
      <c r="B59" s="84">
        <f t="shared" si="2"/>
        <v>1.3784258957860747</v>
      </c>
      <c r="C59" s="84">
        <f t="shared" si="3"/>
        <v>1.0834302940603509</v>
      </c>
      <c r="D59" s="84">
        <f t="shared" si="4"/>
        <v>1.0872681767180963</v>
      </c>
      <c r="E59" s="84">
        <f t="shared" si="1"/>
        <v>0.854582958739601</v>
      </c>
    </row>
    <row r="60" spans="1:8">
      <c r="A60" s="85">
        <v>8</v>
      </c>
      <c r="B60" s="84">
        <f t="shared" si="2"/>
        <v>1.4187490327192056</v>
      </c>
      <c r="C60" s="84">
        <f t="shared" si="3"/>
        <v>1.077414410817592</v>
      </c>
      <c r="D60" s="84">
        <f t="shared" si="4"/>
        <v>1.1025360271511471</v>
      </c>
      <c r="E60" s="84">
        <f t="shared" si="1"/>
        <v>0.83727860016333489</v>
      </c>
    </row>
    <row r="61" spans="1:8">
      <c r="A61" s="85">
        <v>9</v>
      </c>
      <c r="B61" s="84">
        <f t="shared" si="2"/>
        <v>1.4602517436701337</v>
      </c>
      <c r="C61" s="84">
        <f t="shared" si="3"/>
        <v>1.0714319315246665</v>
      </c>
      <c r="D61" s="84">
        <f t="shared" si="4"/>
        <v>1.1180182747879768</v>
      </c>
      <c r="E61" s="84">
        <f t="shared" si="1"/>
        <v>0.82032463568593739</v>
      </c>
    </row>
    <row r="62" spans="1:8">
      <c r="A62" s="85">
        <v>10</v>
      </c>
      <c r="B62" s="84">
        <f t="shared" si="2"/>
        <v>1.5029685347554282</v>
      </c>
      <c r="C62" s="84">
        <f t="shared" si="3"/>
        <v>1.0654826707019327</v>
      </c>
      <c r="D62" s="84">
        <f t="shared" si="4"/>
        <v>1.133717930279049</v>
      </c>
      <c r="E62" s="84">
        <f t="shared" si="1"/>
        <v>0.80371397021492164</v>
      </c>
    </row>
    <row r="63" spans="1:8">
      <c r="A63" s="85">
        <v>11</v>
      </c>
      <c r="B63" s="84">
        <f t="shared" si="2"/>
        <v>1.5469349215001935</v>
      </c>
      <c r="C63" s="84">
        <f t="shared" si="3"/>
        <v>1.059566443899649</v>
      </c>
      <c r="D63" s="84">
        <f t="shared" si="4"/>
        <v>1.1496380465515741</v>
      </c>
      <c r="E63" s="84">
        <f t="shared" si="1"/>
        <v>0.7874396523255669</v>
      </c>
    </row>
    <row r="64" spans="1:8">
      <c r="A64" s="85">
        <v>12</v>
      </c>
      <c r="B64" s="84">
        <f t="shared" si="2"/>
        <v>1.5921874583663285</v>
      </c>
      <c r="C64" s="84">
        <f t="shared" si="3"/>
        <v>1.0536830676922542</v>
      </c>
      <c r="D64" s="84">
        <f t="shared" si="4"/>
        <v>1.1657817194031757</v>
      </c>
      <c r="E64" s="84">
        <f t="shared" si="1"/>
        <v>0.7714948713518055</v>
      </c>
    </row>
    <row r="65" spans="1:6">
      <c r="A65" s="85">
        <v>13</v>
      </c>
      <c r="B65" s="84">
        <f t="shared" si="2"/>
        <v>1.638763769144578</v>
      </c>
      <c r="C65" s="84">
        <f t="shared" si="3"/>
        <v>1.04783235967268</v>
      </c>
      <c r="D65" s="84">
        <f t="shared" si="4"/>
        <v>1.1821520881038936</v>
      </c>
      <c r="E65" s="84">
        <f t="shared" si="1"/>
        <v>0.75587295453601533</v>
      </c>
    </row>
    <row r="66" spans="1:6">
      <c r="A66" s="85">
        <v>14</v>
      </c>
      <c r="B66" s="84">
        <f t="shared" si="2"/>
        <v>1.6867025782356442</v>
      </c>
      <c r="C66" s="84">
        <f t="shared" si="3"/>
        <v>1.0420141384466963</v>
      </c>
      <c r="D66" s="84">
        <f t="shared" si="4"/>
        <v>1.1987523360066414</v>
      </c>
      <c r="E66" s="84">
        <f t="shared" si="1"/>
        <v>0.7405673642365268</v>
      </c>
    </row>
    <row r="67" spans="1:6">
      <c r="A67" s="85">
        <v>15</v>
      </c>
      <c r="B67" s="84">
        <f t="shared" si="2"/>
        <v>1.7360437428463649</v>
      </c>
      <c r="C67" s="84">
        <f t="shared" si="3"/>
        <v>1.0362282236272884</v>
      </c>
      <c r="D67" s="84">
        <f t="shared" si="4"/>
        <v>1.2155856911662353</v>
      </c>
      <c r="E67" s="84">
        <f t="shared" si="1"/>
        <v>0.72557169519167519</v>
      </c>
    </row>
    <row r="68" spans="1:6">
      <c r="A68" s="85">
        <v>16</v>
      </c>
      <c r="B68" s="84">
        <f t="shared" si="2"/>
        <v>1.7868282861277276</v>
      </c>
      <c r="C68" s="84">
        <f t="shared" si="3"/>
        <v>1.0304744358290623</v>
      </c>
      <c r="D68" s="84">
        <f t="shared" si="4"/>
        <v>1.2326554269671157</v>
      </c>
      <c r="E68" s="84">
        <f t="shared" si="1"/>
        <v>0.71087967183925116</v>
      </c>
    </row>
    <row r="69" spans="1:6">
      <c r="A69" s="85">
        <v>17</v>
      </c>
      <c r="B69" s="84">
        <f t="shared" si="2"/>
        <v>1.8390984312822714</v>
      </c>
      <c r="C69" s="84">
        <f t="shared" si="3"/>
        <v>1.0247525966626838</v>
      </c>
      <c r="D69" s="84">
        <f t="shared" si="4"/>
        <v>1.2499648627598843</v>
      </c>
      <c r="E69" s="84">
        <f t="shared" si="1"/>
        <v>0.69648514569023023</v>
      </c>
    </row>
    <row r="70" spans="1:6">
      <c r="A70" s="85">
        <v>18</v>
      </c>
      <c r="B70" s="84">
        <f t="shared" si="2"/>
        <v>1.8928976366692327</v>
      </c>
      <c r="C70" s="84">
        <f t="shared" si="3"/>
        <v>1.0190625287293487</v>
      </c>
      <c r="D70" s="84">
        <f t="shared" si="4"/>
        <v>1.2675173645067785</v>
      </c>
      <c r="E70" s="84">
        <f t="shared" si="1"/>
        <v>0.68238209275568296</v>
      </c>
    </row>
    <row r="71" spans="1:6">
      <c r="A71" s="85">
        <v>19</v>
      </c>
      <c r="B71" s="84">
        <f t="shared" si="2"/>
        <v>1.948270631936625</v>
      </c>
      <c r="C71" s="84">
        <f t="shared" si="3"/>
        <v>1.0134040556152815</v>
      </c>
      <c r="D71" s="84">
        <f t="shared" si="4"/>
        <v>1.2853163454362111</v>
      </c>
      <c r="E71" s="84">
        <f t="shared" si="1"/>
        <v>0.66856461102578424</v>
      </c>
    </row>
    <row r="72" spans="1:6">
      <c r="A72" s="85">
        <v>20</v>
      </c>
      <c r="B72" s="84">
        <f t="shared" si="2"/>
        <v>2.0052634552102893</v>
      </c>
      <c r="C72" s="84">
        <f t="shared" si="3"/>
        <v>1.0077770018862668</v>
      </c>
      <c r="D72" s="84">
        <f t="shared" si="4"/>
        <v>1.3033652667065001</v>
      </c>
      <c r="E72" s="84">
        <f t="shared" si="1"/>
        <v>0.65502691799987256</v>
      </c>
    </row>
    <row r="73" spans="1:6">
      <c r="A73" s="85"/>
      <c r="B73" s="84"/>
      <c r="C73" s="84"/>
      <c r="D73" s="84"/>
      <c r="E73" s="84"/>
      <c r="F73" s="148"/>
    </row>
    <row r="74" spans="1:6">
      <c r="A74" s="85"/>
      <c r="B74" s="84"/>
      <c r="C74" s="84"/>
      <c r="D74" s="84"/>
      <c r="E74" s="84"/>
    </row>
    <row r="75" spans="1:6">
      <c r="A75" s="85"/>
      <c r="B75" s="84"/>
      <c r="C75" s="84"/>
      <c r="D75" s="84"/>
      <c r="E75" s="84"/>
    </row>
    <row r="76" spans="1:6">
      <c r="A76" s="85"/>
      <c r="B76" s="84"/>
      <c r="C76" s="84"/>
      <c r="D76" s="84"/>
      <c r="E76" s="84"/>
    </row>
    <row r="77" spans="1:6">
      <c r="A77" s="85"/>
      <c r="B77" s="84"/>
      <c r="C77" s="84"/>
      <c r="D77" s="84"/>
      <c r="E77" s="84"/>
    </row>
    <row r="78" spans="1:6">
      <c r="A78" s="85"/>
      <c r="B78" s="84"/>
      <c r="C78" s="84"/>
      <c r="D78" s="84"/>
      <c r="E78" s="84"/>
    </row>
    <row r="79" spans="1:6">
      <c r="A79" s="85"/>
      <c r="B79" s="84"/>
      <c r="C79" s="84"/>
      <c r="D79" s="84"/>
      <c r="E79" s="84"/>
    </row>
    <row r="80" spans="1:6">
      <c r="A80" s="85"/>
      <c r="B80" s="84"/>
      <c r="C80" s="84"/>
      <c r="D80" s="84"/>
      <c r="E80" s="84"/>
    </row>
    <row r="81" spans="1:5">
      <c r="A81" s="85"/>
      <c r="B81" s="84"/>
      <c r="C81" s="84"/>
      <c r="D81" s="84"/>
      <c r="E81" s="84"/>
    </row>
    <row r="82" spans="1:5">
      <c r="A82" s="85"/>
      <c r="B82" s="84"/>
      <c r="C82" s="84"/>
      <c r="D82" s="84"/>
      <c r="E82" s="84"/>
    </row>
    <row r="83" spans="1:5">
      <c r="A83" s="85"/>
      <c r="B83" s="84"/>
      <c r="C83" s="84"/>
      <c r="D83" s="84"/>
      <c r="E83" s="84"/>
    </row>
    <row r="84" spans="1:5">
      <c r="A84" s="85"/>
      <c r="B84" s="84"/>
      <c r="C84" s="84"/>
      <c r="D84" s="84"/>
      <c r="E84" s="84"/>
    </row>
    <row r="85" spans="1:5">
      <c r="A85" s="85"/>
      <c r="B85" s="84"/>
      <c r="C85" s="84"/>
      <c r="D85" s="84"/>
      <c r="E85" s="84"/>
    </row>
    <row r="86" spans="1:5">
      <c r="A86" s="85"/>
      <c r="B86" s="84"/>
      <c r="C86" s="84"/>
      <c r="D86" s="84"/>
      <c r="E86" s="84"/>
    </row>
    <row r="87" spans="1:5">
      <c r="A87" s="85"/>
      <c r="B87" s="84"/>
      <c r="C87" s="84"/>
      <c r="D87" s="84"/>
      <c r="E87" s="84"/>
    </row>
    <row r="88" spans="1:5">
      <c r="A88" s="85"/>
      <c r="B88" s="84"/>
      <c r="C88" s="84"/>
      <c r="D88" s="84"/>
      <c r="E88" s="84"/>
    </row>
    <row r="89" spans="1:5">
      <c r="A89" s="85"/>
      <c r="B89" s="84"/>
      <c r="C89" s="84"/>
      <c r="D89" s="84"/>
      <c r="E89" s="84"/>
    </row>
    <row r="90" spans="1:5">
      <c r="A90" s="85"/>
      <c r="B90" s="84"/>
      <c r="C90" s="84"/>
      <c r="D90" s="84"/>
      <c r="E90" s="84"/>
    </row>
    <row r="91" spans="1:5">
      <c r="A91" s="85"/>
      <c r="B91" s="84"/>
      <c r="C91" s="84"/>
      <c r="D91" s="84"/>
      <c r="E91" s="84"/>
    </row>
    <row r="92" spans="1:5">
      <c r="A92" s="85"/>
      <c r="B92" s="84"/>
      <c r="C92" s="84"/>
      <c r="D92" s="84"/>
      <c r="E92" s="84"/>
    </row>
  </sheetData>
  <phoneticPr fontId="66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L34"/>
  <sheetViews>
    <sheetView tabSelected="1" zoomScale="90" zoomScaleNormal="90" zoomScalePageLayoutView="120" workbookViewId="0">
      <pane ySplit="1" topLeftCell="A12" activePane="bottomLeft" state="frozen"/>
      <selection pane="bottomLeft" activeCell="J15" sqref="J15"/>
    </sheetView>
  </sheetViews>
  <sheetFormatPr defaultColWidth="11" defaultRowHeight="15.75"/>
  <cols>
    <col min="1" max="1" width="31" customWidth="1"/>
    <col min="2" max="2" width="17.375" customWidth="1"/>
    <col min="3" max="3" width="18" customWidth="1"/>
    <col min="4" max="4" width="17.875" customWidth="1"/>
    <col min="5" max="5" width="0.875" customWidth="1"/>
    <col min="6" max="6" width="34.625" customWidth="1"/>
    <col min="7" max="7" width="21" customWidth="1"/>
    <col min="8" max="8" width="10.375" customWidth="1"/>
    <col min="10" max="10" width="30.625" customWidth="1"/>
    <col min="11" max="11" width="12.125" customWidth="1"/>
  </cols>
  <sheetData>
    <row r="1" spans="1:12" ht="51" customHeight="1">
      <c r="A1" s="596" t="s">
        <v>90</v>
      </c>
      <c r="B1" s="597"/>
      <c r="C1" s="3"/>
      <c r="D1" s="2" t="s">
        <v>54</v>
      </c>
      <c r="E1" s="77" t="s">
        <v>225</v>
      </c>
      <c r="F1" s="2" t="s">
        <v>56</v>
      </c>
      <c r="G1" s="17" t="s">
        <v>55</v>
      </c>
      <c r="H1" s="17" t="s">
        <v>173</v>
      </c>
      <c r="J1" s="17" t="s">
        <v>187</v>
      </c>
      <c r="K1" s="17" t="s">
        <v>316</v>
      </c>
    </row>
    <row r="2" spans="1:12">
      <c r="A2" s="21"/>
      <c r="B2" s="25"/>
      <c r="C2" s="14" t="s">
        <v>9</v>
      </c>
      <c r="D2" s="158" t="str">
        <f>'MCS Indata &amp; Resultat'!C9</f>
        <v>MV 6kf</v>
      </c>
      <c r="E2" s="14"/>
      <c r="F2" s="4" t="s">
        <v>634</v>
      </c>
      <c r="G2" t="s">
        <v>54</v>
      </c>
      <c r="H2" s="75"/>
      <c r="I2" s="16"/>
      <c r="J2" t="s">
        <v>184</v>
      </c>
    </row>
    <row r="3" spans="1:12">
      <c r="A3" s="2"/>
      <c r="B3" s="3"/>
      <c r="C3" s="14" t="s">
        <v>183</v>
      </c>
      <c r="D3" s="156">
        <f>'MCS Indata &amp; Resultat'!C15</f>
        <v>79000</v>
      </c>
      <c r="E3" s="14"/>
      <c r="F3" s="4" t="s">
        <v>634</v>
      </c>
      <c r="G3" t="s">
        <v>54</v>
      </c>
      <c r="H3" s="75"/>
    </row>
    <row r="4" spans="1:12">
      <c r="A4" s="77"/>
      <c r="B4" s="3"/>
      <c r="C4" s="14" t="s">
        <v>120</v>
      </c>
      <c r="D4" s="210">
        <f>'MCS Indata &amp; Resultat'!C18</f>
        <v>8</v>
      </c>
      <c r="E4" s="14"/>
      <c r="F4" s="4" t="s">
        <v>634</v>
      </c>
      <c r="G4" t="s">
        <v>54</v>
      </c>
      <c r="H4" s="75"/>
    </row>
    <row r="5" spans="1:12">
      <c r="A5" s="5"/>
      <c r="B5" s="19"/>
      <c r="C5" s="14" t="s">
        <v>167</v>
      </c>
      <c r="D5" s="157">
        <f>'MCS Indata &amp; Resultat'!C21</f>
        <v>100</v>
      </c>
      <c r="E5" s="14"/>
      <c r="F5" s="4" t="s">
        <v>634</v>
      </c>
      <c r="G5" t="s">
        <v>54</v>
      </c>
      <c r="H5" s="75"/>
    </row>
    <row r="6" spans="1:12">
      <c r="A6" s="5" t="s">
        <v>53</v>
      </c>
      <c r="B6" s="347">
        <f>((D3*D4/100*1.2)+(1-D4/100)*D3)*D6*365/10^6</f>
        <v>331.04886800000003</v>
      </c>
      <c r="C6" s="15" t="s">
        <v>52</v>
      </c>
      <c r="D6" s="155">
        <f>'MCS Indata &amp; Resultat'!C24</f>
        <v>11.3</v>
      </c>
      <c r="E6" s="14"/>
      <c r="F6" s="4" t="s">
        <v>634</v>
      </c>
      <c r="G6" t="s">
        <v>54</v>
      </c>
      <c r="H6" s="75"/>
      <c r="L6">
        <f>B6*Normalvärden!Q23</f>
        <v>0</v>
      </c>
    </row>
    <row r="7" spans="1:12" ht="26.25">
      <c r="A7" t="s">
        <v>170</v>
      </c>
      <c r="B7" s="62">
        <f>(Normalvärden!G29*'ASEK 7.1'!B54+Normalvärden!H29*'ASEK 7.1'!B55+Normalvärden!I29*'ASEK 7.1'!B56+Normalvärden!J29*'ASEK 7.1'!B57+Normalvärden!K29*'ASEK 7.1'!B58)*B6</f>
        <v>378.74899005498798</v>
      </c>
      <c r="C7" s="14" t="s">
        <v>169</v>
      </c>
      <c r="D7" s="518">
        <f>IF(E7&gt;0,E7,(Normalvärden!O24-Normalvärden!M24)*B6)</f>
        <v>75.148093036000006</v>
      </c>
      <c r="E7" s="222">
        <f>'MCS Indata &amp; Resultat'!C30</f>
        <v>75.148093036000006</v>
      </c>
      <c r="F7" s="4" t="s">
        <v>451</v>
      </c>
      <c r="G7" t="s">
        <v>58</v>
      </c>
      <c r="H7" s="75"/>
      <c r="I7" s="36"/>
      <c r="J7" s="4" t="s">
        <v>206</v>
      </c>
      <c r="K7">
        <f>Normalvärden!O24*B6</f>
        <v>75.148093036000006</v>
      </c>
    </row>
    <row r="8" spans="1:12" ht="51.75">
      <c r="A8" s="5" t="s">
        <v>596</v>
      </c>
      <c r="B8" s="270">
        <f>15%*D7</f>
        <v>11.2722139554</v>
      </c>
      <c r="C8" s="268" t="s">
        <v>449</v>
      </c>
      <c r="D8" s="269">
        <v>0.15</v>
      </c>
      <c r="E8" s="14"/>
      <c r="F8" s="5" t="s">
        <v>631</v>
      </c>
      <c r="G8" s="19" t="s">
        <v>450</v>
      </c>
      <c r="H8" s="75">
        <v>20</v>
      </c>
      <c r="I8" s="154"/>
      <c r="J8" s="4" t="s">
        <v>642</v>
      </c>
    </row>
    <row r="9" spans="1:12" ht="51.75">
      <c r="A9" s="5" t="s">
        <v>91</v>
      </c>
      <c r="B9" s="7">
        <f>B8*D9</f>
        <v>3.1610271654245312</v>
      </c>
      <c r="C9" s="14" t="s">
        <v>453</v>
      </c>
      <c r="D9" s="351">
        <f>Sekundärolyckor!H12</f>
        <v>0.28042646971850888</v>
      </c>
      <c r="E9" s="14"/>
      <c r="F9" s="5" t="s">
        <v>452</v>
      </c>
      <c r="G9" s="19" t="s">
        <v>115</v>
      </c>
      <c r="H9" s="75">
        <v>20</v>
      </c>
      <c r="I9" s="352"/>
      <c r="J9" s="4" t="s">
        <v>649</v>
      </c>
    </row>
    <row r="10" spans="1:12" ht="26.25">
      <c r="A10" s="18" t="s">
        <v>50</v>
      </c>
      <c r="B10" s="62">
        <f>B9*D10</f>
        <v>52.331169439756422</v>
      </c>
      <c r="C10" s="15" t="s">
        <v>57</v>
      </c>
      <c r="D10" s="517">
        <f>(Normalvärden!G29*'ASEK 7.1'!B54+Normalvärden!H29*'ASEK 7.1'!B55+Normalvärden!I29*'ASEK 7.1'!B56+Normalvärden!J29*'ASEK 7.1'!B57)/(Normalvärden!O24-Normalvärden!M24)</f>
        <v>16.555115378999997</v>
      </c>
      <c r="E10" s="4"/>
      <c r="F10" s="94" t="s">
        <v>761</v>
      </c>
      <c r="G10" t="s">
        <v>854</v>
      </c>
      <c r="H10" s="75"/>
      <c r="I10" s="353"/>
      <c r="J10" s="94" t="s">
        <v>638</v>
      </c>
    </row>
    <row r="11" spans="1:12" ht="26.25">
      <c r="A11" s="5" t="s">
        <v>59</v>
      </c>
      <c r="B11" s="9">
        <f>B6/D11</f>
        <v>3.1985397874396138</v>
      </c>
      <c r="C11" s="14" t="s">
        <v>166</v>
      </c>
      <c r="D11" s="70">
        <f>IF(E11&gt;0,E11,Normalvärden!C15)</f>
        <v>103.5</v>
      </c>
      <c r="E11" s="222">
        <f>'MCS Indata &amp; Resultat'!C33</f>
        <v>103.5</v>
      </c>
      <c r="F11" s="4" t="s">
        <v>497</v>
      </c>
      <c r="G11" t="s">
        <v>58</v>
      </c>
      <c r="H11" s="75"/>
    </row>
    <row r="12" spans="1:12" ht="33.75" customHeight="1">
      <c r="A12" s="5" t="s">
        <v>636</v>
      </c>
      <c r="B12" s="10">
        <f>B11-(B6/D12)</f>
        <v>1.5377595131921051E-2</v>
      </c>
      <c r="C12" s="14"/>
      <c r="D12" s="349">
        <f>D11+0.5</f>
        <v>104</v>
      </c>
      <c r="E12" s="321"/>
      <c r="F12" s="4" t="s">
        <v>637</v>
      </c>
      <c r="G12" t="s">
        <v>504</v>
      </c>
      <c r="H12" s="75"/>
    </row>
    <row r="13" spans="1:12" ht="33" customHeight="1">
      <c r="A13" s="5"/>
      <c r="B13" s="11"/>
      <c r="C13" s="295" t="s">
        <v>527</v>
      </c>
      <c r="D13" s="350">
        <f>'ASEK 7.1'!B7</f>
        <v>206</v>
      </c>
      <c r="F13" s="4" t="s">
        <v>762</v>
      </c>
      <c r="G13" t="s">
        <v>854</v>
      </c>
      <c r="H13" s="75"/>
    </row>
    <row r="14" spans="1:12" ht="26.25">
      <c r="A14" s="5" t="s">
        <v>364</v>
      </c>
      <c r="B14" s="10">
        <f>Sekundärolyckor!B24*12/1000000</f>
        <v>0.12809472420147736</v>
      </c>
      <c r="C14" s="14" t="s">
        <v>463</v>
      </c>
      <c r="D14" s="354">
        <f>IF(E14&gt;0,E14,Sekundärolyckor!B40)</f>
        <v>24.066477971598577</v>
      </c>
      <c r="E14" s="222">
        <f>'MCS Indata &amp; Resultat'!C39</f>
        <v>24.066477971598577</v>
      </c>
      <c r="F14" s="4" t="s">
        <v>311</v>
      </c>
      <c r="G14" s="19" t="s">
        <v>499</v>
      </c>
      <c r="H14" s="75">
        <v>21</v>
      </c>
    </row>
    <row r="15" spans="1:12" ht="54.95" customHeight="1">
      <c r="A15" s="5" t="s">
        <v>134</v>
      </c>
      <c r="B15" s="247">
        <f>B14*D15</f>
        <v>5.3881726946079503E-3</v>
      </c>
      <c r="C15" s="76"/>
      <c r="D15" s="294">
        <f>D8*D9</f>
        <v>4.206397045777633E-2</v>
      </c>
      <c r="E15" s="12"/>
      <c r="F15" s="5" t="s">
        <v>365</v>
      </c>
      <c r="G15" s="37" t="s">
        <v>312</v>
      </c>
      <c r="H15" s="75"/>
    </row>
    <row r="16" spans="1:12" ht="39">
      <c r="A16" s="20" t="s">
        <v>51</v>
      </c>
      <c r="B16" s="62">
        <f>B15*D16+B12*D13</f>
        <v>7.0526571099880684</v>
      </c>
      <c r="C16" s="295" t="s">
        <v>528</v>
      </c>
      <c r="D16" s="350">
        <f>'ASEK 7.1'!B10*'ASEK 7.1'!B7</f>
        <v>721</v>
      </c>
      <c r="E16" s="12"/>
      <c r="F16" s="4" t="s">
        <v>764</v>
      </c>
      <c r="G16" t="s">
        <v>854</v>
      </c>
      <c r="H16" s="75"/>
    </row>
    <row r="17" spans="1:10" ht="39">
      <c r="A17" s="5"/>
      <c r="B17" s="63"/>
      <c r="C17" s="14" t="s">
        <v>530</v>
      </c>
      <c r="D17" s="73">
        <f>(1-D4/100)*Miljö!C10+D4/100*Miljö!D10</f>
        <v>0.56630755053205917</v>
      </c>
      <c r="F17" s="4" t="s">
        <v>205</v>
      </c>
      <c r="G17" s="5" t="s">
        <v>210</v>
      </c>
      <c r="H17" s="75"/>
      <c r="I17" s="74"/>
      <c r="J17" s="4" t="s">
        <v>207</v>
      </c>
    </row>
    <row r="18" spans="1:10" ht="39">
      <c r="A18" s="5" t="s">
        <v>209</v>
      </c>
      <c r="B18" s="63">
        <f>5%*B6*D8*(D18-D17)/10</f>
        <v>0.23934600433099665</v>
      </c>
      <c r="C18" s="14" t="s">
        <v>531</v>
      </c>
      <c r="D18" s="73">
        <f>(1-D4/100)*Miljö!C16+D4/100*Miljö!D16</f>
        <v>1.5302981773619995</v>
      </c>
      <c r="F18" s="68" t="s">
        <v>645</v>
      </c>
      <c r="G18" s="3" t="s">
        <v>204</v>
      </c>
    </row>
    <row r="19" spans="1:10" ht="26.25">
      <c r="A19" s="5" t="s">
        <v>133</v>
      </c>
      <c r="C19" s="3"/>
      <c r="D19" s="327">
        <f>D9*B18</f>
        <v>6.7118955035772324E-2</v>
      </c>
      <c r="E19" s="3"/>
      <c r="F19" s="5" t="s">
        <v>639</v>
      </c>
      <c r="G19" s="5"/>
      <c r="J19" s="4"/>
    </row>
    <row r="20" spans="1:10">
      <c r="A20" s="5" t="s">
        <v>135</v>
      </c>
      <c r="B20" s="261">
        <f>D19*D20</f>
        <v>0.15936724683693779</v>
      </c>
      <c r="D20" s="305">
        <f>2.36*(1-D4/100)+2.54*(D4/100)</f>
        <v>2.3743999999999996</v>
      </c>
      <c r="E20" s="78"/>
      <c r="F20" s="5" t="s">
        <v>640</v>
      </c>
      <c r="G20" t="s">
        <v>58</v>
      </c>
      <c r="H20" s="37"/>
      <c r="J20" s="4"/>
    </row>
    <row r="21" spans="1:10">
      <c r="A21" s="61" t="s">
        <v>132</v>
      </c>
      <c r="B21" s="62">
        <f>B20*D21</f>
        <v>1.1155707278585645</v>
      </c>
      <c r="C21" s="14" t="s">
        <v>57</v>
      </c>
      <c r="D21" s="355">
        <f>'ASEK 7.1'!B11</f>
        <v>7</v>
      </c>
      <c r="E21" s="78"/>
      <c r="F21" s="4" t="s">
        <v>763</v>
      </c>
      <c r="G21" t="s">
        <v>854</v>
      </c>
    </row>
    <row r="22" spans="1:10" ht="26.25">
      <c r="A22" s="5" t="s">
        <v>290</v>
      </c>
      <c r="B22" s="8"/>
      <c r="C22" s="14" t="s">
        <v>703</v>
      </c>
      <c r="D22" s="356">
        <f>IF(E22&gt;0,E22,'Investering &amp; drift '!H5*$D$6)</f>
        <v>70.738</v>
      </c>
      <c r="E22" s="222">
        <f>'MCS Indata &amp; Resultat'!C42</f>
        <v>70.738</v>
      </c>
      <c r="F22" s="4" t="s">
        <v>292</v>
      </c>
      <c r="G22" s="37" t="s">
        <v>84</v>
      </c>
      <c r="I22" s="357"/>
      <c r="J22" s="4" t="s">
        <v>641</v>
      </c>
    </row>
    <row r="23" spans="1:10" ht="26.25">
      <c r="A23" s="5" t="s">
        <v>656</v>
      </c>
      <c r="B23" s="8"/>
      <c r="C23" s="295" t="s">
        <v>704</v>
      </c>
      <c r="D23" s="356">
        <f>IF(E23&gt;0,E23,'Investering &amp; drift '!H8*$D$6)</f>
        <v>20.622500000000002</v>
      </c>
      <c r="E23" s="222">
        <f>'MCS Indata &amp; Resultat'!C48</f>
        <v>20.622500000000002</v>
      </c>
      <c r="F23" s="4" t="s">
        <v>292</v>
      </c>
      <c r="G23" s="37" t="s">
        <v>84</v>
      </c>
      <c r="J23" s="4"/>
    </row>
    <row r="24" spans="1:10" ht="26.25">
      <c r="A24" s="5" t="s">
        <v>93</v>
      </c>
      <c r="B24" s="8"/>
      <c r="C24" s="144" t="s">
        <v>293</v>
      </c>
      <c r="D24" s="356">
        <f>IF(E24&gt;0,E24,'Investering &amp; drift '!I5*$D$6)</f>
        <v>5.8760000000000003</v>
      </c>
      <c r="E24" s="222">
        <f>'MCS Indata &amp; Resultat'!C51</f>
        <v>5.8760000000000003</v>
      </c>
      <c r="F24" s="4" t="s">
        <v>292</v>
      </c>
      <c r="G24" s="37" t="s">
        <v>84</v>
      </c>
      <c r="J24" s="4"/>
    </row>
    <row r="25" spans="1:10">
      <c r="A25" s="50" t="s">
        <v>128</v>
      </c>
      <c r="B25" s="62">
        <f>-PPMT('ASEK 7.1'!B4,1,40,D22,,1)-PPMT('ASEK 7.1'!B4,1,20,D23,,1)+D24</f>
        <v>10.478405409077411</v>
      </c>
      <c r="F25" s="3"/>
      <c r="J25" s="4"/>
    </row>
    <row r="26" spans="1:10">
      <c r="A26" s="4"/>
      <c r="B26" s="8"/>
      <c r="C26" s="13"/>
      <c r="D26" s="4"/>
      <c r="E26" s="4"/>
      <c r="F26" s="3"/>
    </row>
    <row r="27" spans="1:10">
      <c r="A27" s="4" t="s">
        <v>136</v>
      </c>
      <c r="B27" s="65">
        <f>B10+B16+B21</f>
        <v>60.499397277603052</v>
      </c>
      <c r="C27" s="3"/>
      <c r="D27" s="4"/>
      <c r="E27" s="4"/>
      <c r="F27" s="3"/>
    </row>
    <row r="28" spans="1:10">
      <c r="A28" s="5" t="s">
        <v>137</v>
      </c>
      <c r="B28" s="65">
        <f>B25</f>
        <v>10.478405409077411</v>
      </c>
      <c r="C28" s="3"/>
      <c r="D28" s="4"/>
      <c r="E28" s="4"/>
      <c r="F28" s="4"/>
    </row>
    <row r="29" spans="1:10">
      <c r="A29" s="5"/>
      <c r="B29" s="66"/>
      <c r="C29" s="12"/>
      <c r="D29" s="4"/>
      <c r="E29" s="4"/>
      <c r="F29" s="3"/>
    </row>
    <row r="30" spans="1:10">
      <c r="A30" s="4"/>
      <c r="B30" s="8"/>
      <c r="C30" s="13"/>
      <c r="D30" s="4"/>
      <c r="E30" s="4"/>
      <c r="F30" s="3"/>
    </row>
    <row r="31" spans="1:10">
      <c r="A31" s="5"/>
      <c r="B31" s="6"/>
      <c r="C31" s="3"/>
      <c r="D31" s="4"/>
      <c r="E31" s="4"/>
      <c r="F31" s="4"/>
    </row>
    <row r="32" spans="1:10">
      <c r="A32" s="5"/>
      <c r="B32" s="7"/>
      <c r="C32" s="3"/>
      <c r="D32" s="4"/>
      <c r="E32" s="4"/>
      <c r="F32" s="4"/>
    </row>
    <row r="33" spans="1:6">
      <c r="A33" s="4"/>
      <c r="B33" s="8"/>
      <c r="C33" s="315"/>
      <c r="D33" s="314"/>
      <c r="E33" s="4"/>
      <c r="F33" s="3"/>
    </row>
    <row r="34" spans="1:6">
      <c r="A34" s="4"/>
      <c r="B34" s="8"/>
      <c r="C34" s="13"/>
      <c r="D34" s="4"/>
      <c r="E34" s="4"/>
      <c r="F34" s="3"/>
    </row>
  </sheetData>
  <mergeCells count="1">
    <mergeCell ref="A1:B1"/>
  </mergeCells>
  <phoneticPr fontId="27" type="noConversion"/>
  <pageMargins left="0.70000000000000007" right="0.70000000000000007" top="0.75000000000000011" bottom="0.75000000000000011" header="0.30000000000000004" footer="0.30000000000000004"/>
  <pageSetup paperSize="9" scale="58" orientation="portrait" horizontalDpi="4294967292" verticalDpi="4294967292" r:id="rId1"/>
  <headerFooter>
    <oddHeader>&amp;L&amp;"Calibri,Normal"&amp;K000000&amp;F&amp;R&amp;"Calibri,Normal"&amp;K000000&amp;A</oddHeader>
    <oddFooter>&amp;C&amp;"Calibri,Normal"&amp;K000000&amp;D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pageSetUpPr fitToPage="1"/>
  </sheetPr>
  <dimension ref="A1:J26"/>
  <sheetViews>
    <sheetView zoomScaleNormal="100" zoomScalePageLayoutView="120" workbookViewId="0">
      <pane ySplit="1" topLeftCell="A10" activePane="bottomLeft" state="frozen"/>
      <selection pane="bottomLeft" activeCell="L17" sqref="L17"/>
    </sheetView>
  </sheetViews>
  <sheetFormatPr defaultColWidth="11" defaultRowHeight="15.75"/>
  <cols>
    <col min="1" max="1" width="31" customWidth="1"/>
    <col min="2" max="2" width="14.875" customWidth="1"/>
    <col min="3" max="3" width="16.5" customWidth="1"/>
    <col min="4" max="4" width="17" customWidth="1"/>
    <col min="5" max="5" width="14.625" customWidth="1"/>
    <col min="6" max="6" width="33.5" bestFit="1" customWidth="1"/>
    <col min="7" max="7" width="20.5" customWidth="1"/>
    <col min="8" max="8" width="12.375" bestFit="1" customWidth="1"/>
    <col min="10" max="10" width="32.375" customWidth="1"/>
  </cols>
  <sheetData>
    <row r="1" spans="1:10" ht="51" customHeight="1">
      <c r="A1" s="596" t="s">
        <v>208</v>
      </c>
      <c r="B1" s="597"/>
      <c r="C1" s="3"/>
      <c r="D1" s="2" t="s">
        <v>54</v>
      </c>
      <c r="E1" s="89" t="s">
        <v>32</v>
      </c>
      <c r="F1" s="2" t="s">
        <v>56</v>
      </c>
      <c r="G1" s="17" t="s">
        <v>55</v>
      </c>
      <c r="H1" s="17" t="s">
        <v>173</v>
      </c>
      <c r="J1" s="17" t="s">
        <v>187</v>
      </c>
    </row>
    <row r="2" spans="1:10">
      <c r="A2" s="2"/>
      <c r="B2" s="25"/>
      <c r="C2" s="14" t="s">
        <v>9</v>
      </c>
      <c r="D2" s="158" t="str">
        <f>'MCS Indata &amp; Resultat'!C9</f>
        <v>MV 6kf</v>
      </c>
      <c r="E2" s="90"/>
      <c r="F2" s="4" t="s">
        <v>634</v>
      </c>
      <c r="G2" t="s">
        <v>54</v>
      </c>
      <c r="H2" s="75"/>
      <c r="I2" s="16"/>
      <c r="J2" t="s">
        <v>184</v>
      </c>
    </row>
    <row r="3" spans="1:10">
      <c r="A3" s="2"/>
      <c r="B3" s="3"/>
      <c r="C3" s="14" t="s">
        <v>183</v>
      </c>
      <c r="D3" s="156">
        <f>'MCS Indata &amp; Resultat'!C15</f>
        <v>79000</v>
      </c>
      <c r="E3" s="91"/>
      <c r="F3" s="4" t="s">
        <v>634</v>
      </c>
      <c r="G3" t="s">
        <v>54</v>
      </c>
      <c r="H3" s="75"/>
    </row>
    <row r="4" spans="1:10">
      <c r="A4" s="80"/>
      <c r="B4" s="3"/>
      <c r="C4" s="14" t="s">
        <v>120</v>
      </c>
      <c r="D4" s="210">
        <f>'MCS Indata &amp; Resultat'!C18</f>
        <v>8</v>
      </c>
      <c r="E4" s="37"/>
      <c r="F4" s="4" t="s">
        <v>634</v>
      </c>
      <c r="G4" t="s">
        <v>54</v>
      </c>
      <c r="H4" s="75"/>
    </row>
    <row r="5" spans="1:10">
      <c r="A5" s="18"/>
      <c r="B5" s="8"/>
      <c r="C5" s="14" t="s">
        <v>167</v>
      </c>
      <c r="D5" s="157">
        <f>'MCS Indata &amp; Resultat'!C21</f>
        <v>100</v>
      </c>
      <c r="E5" s="92"/>
      <c r="F5" s="4" t="s">
        <v>634</v>
      </c>
      <c r="G5" t="s">
        <v>54</v>
      </c>
      <c r="H5" s="75"/>
    </row>
    <row r="6" spans="1:10">
      <c r="A6" s="5" t="s">
        <v>53</v>
      </c>
      <c r="B6" s="347">
        <f>((D3*D4/100*1.2)+(1-D4/100)*D3)*D6*365/10^6</f>
        <v>331.04886800000003</v>
      </c>
      <c r="C6" s="15" t="s">
        <v>52</v>
      </c>
      <c r="D6" s="155">
        <f>'MCS Indata &amp; Resultat'!C24</f>
        <v>11.3</v>
      </c>
      <c r="E6" s="93"/>
      <c r="F6" s="4" t="s">
        <v>634</v>
      </c>
      <c r="G6" t="s">
        <v>54</v>
      </c>
      <c r="H6" s="75"/>
    </row>
    <row r="7" spans="1:10" ht="86.1" customHeight="1">
      <c r="A7" s="5" t="s">
        <v>652</v>
      </c>
      <c r="B7" s="245">
        <f>B6*D7</f>
        <v>12.621604619497717</v>
      </c>
      <c r="C7" s="14"/>
      <c r="D7" s="365">
        <f>MIN(IF(E7&gt;0,E7/100,'Tät trafik'!J25),0.5)</f>
        <v>3.812610716885978E-2</v>
      </c>
      <c r="E7" s="222"/>
      <c r="F7" s="4" t="s">
        <v>653</v>
      </c>
      <c r="G7" s="19" t="s">
        <v>24</v>
      </c>
      <c r="H7" s="75">
        <v>31</v>
      </c>
      <c r="I7" s="362"/>
      <c r="J7" s="4" t="s">
        <v>650</v>
      </c>
    </row>
    <row r="8" spans="1:10" ht="53.1" customHeight="1">
      <c r="A8" t="s">
        <v>170</v>
      </c>
      <c r="B8" s="62">
        <f>(Normalvärden!G29*'ASEK 7.1'!B54+Normalvärden!H29*'ASEK 7.1'!B55+Normalvärden!I29*'ASEK 7.1'!B56+Normalvärden!J29*'ASEK 7.1'!B57+Normalvärden!K29*'ASEK 7.1'!B58)*B6</f>
        <v>378.74899005498798</v>
      </c>
      <c r="C8" s="14" t="s">
        <v>169</v>
      </c>
      <c r="D8" s="518">
        <f>IF(E8&gt;0,E8,Normalvärden!O24*B6)</f>
        <v>75.148093036000006</v>
      </c>
      <c r="E8" s="222">
        <f>'MCS Indata &amp; Resultat'!C30</f>
        <v>75.148093036000006</v>
      </c>
      <c r="F8" s="4" t="s">
        <v>35</v>
      </c>
      <c r="G8" t="s">
        <v>58</v>
      </c>
      <c r="H8" s="75"/>
      <c r="I8" s="36"/>
      <c r="J8" s="4" t="s">
        <v>206</v>
      </c>
    </row>
    <row r="9" spans="1:10" ht="45.75" customHeight="1">
      <c r="A9" s="5" t="s">
        <v>595</v>
      </c>
      <c r="B9" s="296">
        <f>D9*D8</f>
        <v>2.8651042486259817</v>
      </c>
      <c r="C9" s="295" t="s">
        <v>36</v>
      </c>
      <c r="D9" s="358">
        <f>D7*1</f>
        <v>3.812610716885978E-2</v>
      </c>
      <c r="E9" s="14"/>
      <c r="F9" s="5" t="s">
        <v>594</v>
      </c>
      <c r="G9" s="19" t="s">
        <v>116</v>
      </c>
      <c r="H9" s="75">
        <v>35</v>
      </c>
      <c r="I9" s="154"/>
      <c r="J9" s="4" t="s">
        <v>642</v>
      </c>
    </row>
    <row r="10" spans="1:10" ht="39">
      <c r="A10" s="5" t="s">
        <v>597</v>
      </c>
      <c r="B10" s="519">
        <f>(Normalvärden!G24+Normalvärden!I24+Normalvärden!K24)*B6*D10</f>
        <v>0.36103771335414259</v>
      </c>
      <c r="C10" s="295" t="s">
        <v>38</v>
      </c>
      <c r="D10" s="359">
        <f>D7/100%*'Tät trafik'!U13</f>
        <v>9.7057568385367984E-3</v>
      </c>
      <c r="E10" s="37"/>
      <c r="F10" s="5" t="s">
        <v>783</v>
      </c>
      <c r="G10" s="19" t="s">
        <v>73</v>
      </c>
      <c r="H10" s="75">
        <v>35</v>
      </c>
    </row>
    <row r="11" spans="1:10" ht="26.25">
      <c r="A11" s="18" t="s">
        <v>50</v>
      </c>
      <c r="B11" s="366">
        <f>B10*D11</f>
        <v>5.9770210007481586</v>
      </c>
      <c r="C11" s="15" t="s">
        <v>57</v>
      </c>
      <c r="D11" s="517">
        <f>(Normalvärden!G29*'ASEK 7.1'!B54+Normalvärden!H29*'ASEK 7.1'!B55+Normalvärden!I29*'ASEK 7.1'!B56+Normalvärden!J29*'ASEK 7.1'!B57)/(Normalvärden!O24-Normalvärden!M24)</f>
        <v>16.555115378999997</v>
      </c>
      <c r="E11" s="94"/>
      <c r="F11" s="94" t="s">
        <v>761</v>
      </c>
      <c r="G11" t="s">
        <v>854</v>
      </c>
      <c r="H11" s="75"/>
      <c r="I11" s="353"/>
      <c r="J11" s="94" t="s">
        <v>638</v>
      </c>
    </row>
    <row r="12" spans="1:10" ht="26.25">
      <c r="A12" s="5" t="s">
        <v>757</v>
      </c>
      <c r="B12" s="10">
        <f>B7/D12</f>
        <v>0.1219478707197847</v>
      </c>
      <c r="C12" s="14" t="s">
        <v>166</v>
      </c>
      <c r="D12" s="70">
        <f>Normalvärden!C23</f>
        <v>103.5</v>
      </c>
      <c r="E12" s="222">
        <f>'MCS Indata &amp; Resultat'!C33</f>
        <v>103.5</v>
      </c>
      <c r="F12" s="4" t="s">
        <v>497</v>
      </c>
      <c r="G12" t="s">
        <v>58</v>
      </c>
      <c r="H12" s="75"/>
    </row>
    <row r="13" spans="1:10" ht="42.95" customHeight="1">
      <c r="A13" s="5" t="s">
        <v>501</v>
      </c>
      <c r="B13" s="10">
        <f>'Tät trafik'!B38*12/1000000</f>
        <v>7.617737770675588E-2</v>
      </c>
      <c r="C13" s="14" t="s">
        <v>253</v>
      </c>
      <c r="D13" s="360">
        <f>IF(E13&gt;0,E13,'Tät trafik'!B54)</f>
        <v>4.0088356777571335</v>
      </c>
      <c r="E13" s="222">
        <f>'MCS Indata &amp; Resultat'!C57</f>
        <v>4.0088356777571335</v>
      </c>
      <c r="F13" s="4" t="s">
        <v>498</v>
      </c>
      <c r="G13" s="37" t="s">
        <v>500</v>
      </c>
      <c r="H13" s="75">
        <v>32</v>
      </c>
    </row>
    <row r="14" spans="1:10" ht="45" customHeight="1">
      <c r="A14" s="5" t="s">
        <v>60</v>
      </c>
      <c r="B14" s="1">
        <f>B13*'Tät trafik'!O39</f>
        <v>4.5706426624053526E-3</v>
      </c>
      <c r="C14" s="12"/>
      <c r="D14" s="361">
        <f>'Tät trafik'!O39</f>
        <v>0.06</v>
      </c>
      <c r="E14" s="12"/>
      <c r="F14" s="4" t="s">
        <v>503</v>
      </c>
      <c r="G14" s="37" t="s">
        <v>504</v>
      </c>
      <c r="H14" s="75">
        <v>34</v>
      </c>
    </row>
    <row r="15" spans="1:10" ht="39">
      <c r="A15" s="20" t="s">
        <v>51</v>
      </c>
      <c r="B15" s="366">
        <f>(B14)*D15</f>
        <v>1.4123285826832539</v>
      </c>
      <c r="C15" s="14" t="s">
        <v>644</v>
      </c>
      <c r="D15" s="350">
        <f>'ASEK 7.1'!B9*'ASEK 7.1'!B7</f>
        <v>309</v>
      </c>
      <c r="E15" s="95"/>
      <c r="F15" s="4" t="s">
        <v>643</v>
      </c>
      <c r="G15" t="s">
        <v>854</v>
      </c>
      <c r="H15" s="313"/>
      <c r="J15" s="72"/>
    </row>
    <row r="16" spans="1:10" ht="39">
      <c r="A16" s="5" t="s">
        <v>43</v>
      </c>
      <c r="B16" s="327">
        <f>B7*D16/10</f>
        <v>0.71477099958518742</v>
      </c>
      <c r="C16" s="13"/>
      <c r="D16" s="73">
        <f>(1-D4/100)*Miljö!C10+D4/100*Miljö!D10</f>
        <v>0.56630755053205917</v>
      </c>
      <c r="E16" s="97"/>
      <c r="F16" s="3" t="s">
        <v>647</v>
      </c>
      <c r="G16" s="5" t="s">
        <v>648</v>
      </c>
      <c r="I16" s="74"/>
      <c r="J16" s="4" t="s">
        <v>207</v>
      </c>
    </row>
    <row r="17" spans="1:10" ht="39">
      <c r="A17" s="5" t="s">
        <v>152</v>
      </c>
      <c r="B17" s="327">
        <f>'Tät trafik'!P39*B7*(D17-D16)/10</f>
        <v>0.15604320279008274</v>
      </c>
      <c r="D17" s="73">
        <f>(1-D4/100)*Miljö!C17+D4/100*Miljö!D17</f>
        <v>1.1844666812222604</v>
      </c>
      <c r="E17" s="97"/>
      <c r="F17" s="68" t="s">
        <v>646</v>
      </c>
      <c r="G17" s="68" t="s">
        <v>505</v>
      </c>
    </row>
    <row r="18" spans="1:10">
      <c r="A18" s="5" t="s">
        <v>135</v>
      </c>
      <c r="B18" s="64">
        <f>B17*D18</f>
        <v>0.37050898070477239</v>
      </c>
      <c r="D18" s="305">
        <f>2.36*(1-D4/100)+2.54*(D4/100)</f>
        <v>2.3743999999999996</v>
      </c>
      <c r="E18" s="78"/>
      <c r="F18" s="5" t="s">
        <v>640</v>
      </c>
      <c r="G18" t="s">
        <v>58</v>
      </c>
      <c r="H18" s="37"/>
    </row>
    <row r="19" spans="1:10">
      <c r="A19" s="61" t="s">
        <v>132</v>
      </c>
      <c r="B19" s="366">
        <f>B18*D19</f>
        <v>2.5935628649334066</v>
      </c>
      <c r="C19" s="14" t="s">
        <v>57</v>
      </c>
      <c r="D19" s="355">
        <f>'ASEK 7.1'!B11</f>
        <v>7</v>
      </c>
      <c r="E19" s="98"/>
      <c r="F19" s="4" t="s">
        <v>843</v>
      </c>
      <c r="G19" t="s">
        <v>854</v>
      </c>
    </row>
    <row r="20" spans="1:10" ht="29.1" customHeight="1">
      <c r="A20" s="5" t="s">
        <v>291</v>
      </c>
      <c r="B20" s="8"/>
      <c r="C20" s="14" t="s">
        <v>297</v>
      </c>
      <c r="D20" s="356">
        <f>IF(E20&gt;0,E20,'Investering &amp; drift '!K9*$D$6)</f>
        <v>17.176000000000002</v>
      </c>
      <c r="E20" s="222">
        <f>'MCS Indata &amp; Resultat'!C60</f>
        <v>17.176000000000002</v>
      </c>
      <c r="F20" s="4" t="s">
        <v>292</v>
      </c>
      <c r="G20" s="37" t="s">
        <v>84</v>
      </c>
      <c r="I20" s="357"/>
      <c r="J20" s="4" t="s">
        <v>641</v>
      </c>
    </row>
    <row r="21" spans="1:10" ht="26.25">
      <c r="A21" s="5" t="s">
        <v>93</v>
      </c>
      <c r="B21" s="8"/>
      <c r="C21" s="144" t="s">
        <v>293</v>
      </c>
      <c r="D21" s="356">
        <f>IF(E21&gt;0,E21,'Investering &amp; drift '!L9*$D$6)</f>
        <v>1.1300000000000001</v>
      </c>
      <c r="E21" s="222">
        <f>'MCS Indata &amp; Resultat'!C63</f>
        <v>1.1300000000000001</v>
      </c>
      <c r="F21" s="4" t="s">
        <v>292</v>
      </c>
      <c r="G21" s="37" t="s">
        <v>84</v>
      </c>
      <c r="J21" s="4"/>
    </row>
    <row r="22" spans="1:10">
      <c r="A22" s="50" t="s">
        <v>128</v>
      </c>
      <c r="B22" s="62">
        <f>-PPMT('ASEK 7.1'!B4,1,20,D20,,1)+D21</f>
        <v>2.2976539660147424</v>
      </c>
      <c r="F22" s="3"/>
      <c r="J22" s="4"/>
    </row>
    <row r="23" spans="1:10">
      <c r="A23" s="4"/>
      <c r="B23" s="8"/>
      <c r="C23" s="13"/>
      <c r="D23" s="4"/>
      <c r="E23" s="4"/>
      <c r="F23" s="3"/>
    </row>
    <row r="24" spans="1:10">
      <c r="A24" s="4" t="s">
        <v>136</v>
      </c>
      <c r="B24" s="65">
        <f>B11+B15+B19</f>
        <v>9.9829124483648197</v>
      </c>
      <c r="C24" s="3"/>
      <c r="D24" s="4"/>
      <c r="E24" s="4"/>
      <c r="F24" s="3"/>
    </row>
    <row r="25" spans="1:10">
      <c r="A25" s="5" t="s">
        <v>137</v>
      </c>
      <c r="B25" s="65">
        <f>B22</f>
        <v>2.2976539660147424</v>
      </c>
      <c r="C25" s="3"/>
      <c r="D25" s="4"/>
      <c r="E25" s="4"/>
      <c r="F25" s="4"/>
    </row>
    <row r="26" spans="1:10">
      <c r="A26" s="5"/>
      <c r="B26" s="66"/>
      <c r="C26" s="12"/>
      <c r="D26" s="4"/>
      <c r="E26" s="4"/>
      <c r="F26" s="3"/>
    </row>
  </sheetData>
  <mergeCells count="1">
    <mergeCell ref="A1:B1"/>
  </mergeCells>
  <phoneticPr fontId="27" type="noConversion"/>
  <pageMargins left="0.70000000000000007" right="0.70000000000000007" top="0.75000000000000011" bottom="0.75000000000000011" header="0.30000000000000004" footer="0.30000000000000004"/>
  <pageSetup paperSize="9" scale="40" orientation="portrait" r:id="rId1"/>
  <headerFooter>
    <oddHeader>&amp;L&amp;"Calibri,Normal"&amp;K000000&amp;F&amp;R&amp;"Calibri,Normal"&amp;K000000&amp;A</oddHeader>
    <oddFooter>&amp;C&amp;"Calibri,Normal"&amp;K000000&amp;D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rgb="FF0070C0"/>
    <pageSetUpPr fitToPage="1"/>
  </sheetPr>
  <dimension ref="A1:T74"/>
  <sheetViews>
    <sheetView workbookViewId="0">
      <selection sqref="A1:B1"/>
    </sheetView>
  </sheetViews>
  <sheetFormatPr defaultColWidth="11" defaultRowHeight="15.75"/>
  <cols>
    <col min="1" max="1" width="22.375" customWidth="1"/>
    <col min="2" max="2" width="20.875" bestFit="1" customWidth="1"/>
    <col min="3" max="3" width="13.375" bestFit="1" customWidth="1"/>
    <col min="6" max="6" width="12.5" bestFit="1" customWidth="1"/>
    <col min="7" max="7" width="13.625" customWidth="1"/>
    <col min="8" max="16" width="12.5" customWidth="1"/>
  </cols>
  <sheetData>
    <row r="1" spans="1:19" ht="45" customHeight="1">
      <c r="A1" s="604" t="s">
        <v>188</v>
      </c>
      <c r="B1" s="605"/>
      <c r="C1" s="99"/>
      <c r="D1" s="99"/>
      <c r="E1" s="99"/>
      <c r="F1" s="99" t="s">
        <v>273</v>
      </c>
      <c r="G1" s="99"/>
      <c r="H1" s="99" t="s">
        <v>274</v>
      </c>
      <c r="I1" s="99"/>
      <c r="J1" s="99"/>
      <c r="K1" s="99"/>
      <c r="L1" s="99"/>
      <c r="M1" s="99"/>
      <c r="N1" s="99"/>
      <c r="O1" s="99"/>
      <c r="P1" s="99"/>
      <c r="Q1" s="99"/>
    </row>
    <row r="2" spans="1:19">
      <c r="A2" s="100" t="s">
        <v>23</v>
      </c>
      <c r="B2" s="99"/>
      <c r="C2" s="99"/>
      <c r="D2" s="99"/>
      <c r="E2" s="99"/>
      <c r="F2" s="128">
        <f>VALUE(MID('Komplettering MCS_kö'!D2, 4,1))</f>
        <v>6</v>
      </c>
      <c r="G2" s="127">
        <f>'Komplettering MCS_kö'!D5</f>
        <v>100</v>
      </c>
      <c r="H2" s="128">
        <f>VALUE(MID('Uppgradering MCS_VH'!D2, 4,1))</f>
        <v>6</v>
      </c>
      <c r="I2" s="127">
        <f>'Uppgradering MCS_VH'!D5</f>
        <v>100</v>
      </c>
      <c r="J2" s="128"/>
      <c r="K2" s="128"/>
      <c r="L2" s="127"/>
      <c r="M2" s="128"/>
      <c r="N2" s="127"/>
      <c r="P2" s="99"/>
      <c r="Q2" s="99"/>
    </row>
    <row r="3" spans="1:19" ht="16.5" thickBot="1">
      <c r="A3" s="100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9" ht="29.1" customHeight="1">
      <c r="A4" s="101" t="s">
        <v>79</v>
      </c>
      <c r="B4" s="102" t="s">
        <v>180</v>
      </c>
      <c r="C4" s="101" t="s">
        <v>81</v>
      </c>
      <c r="D4" s="101" t="s">
        <v>80</v>
      </c>
      <c r="E4" s="101" t="s">
        <v>82</v>
      </c>
      <c r="F4" s="103"/>
      <c r="G4" s="103" t="s">
        <v>150</v>
      </c>
      <c r="H4" s="103"/>
      <c r="I4" s="103" t="s">
        <v>151</v>
      </c>
      <c r="J4" s="103"/>
      <c r="K4" s="103" t="s">
        <v>168</v>
      </c>
      <c r="L4" s="103"/>
      <c r="M4" s="103" t="s">
        <v>549</v>
      </c>
      <c r="N4" s="103"/>
      <c r="O4" s="103" t="s">
        <v>377</v>
      </c>
      <c r="P4" s="99"/>
      <c r="Q4" s="514"/>
      <c r="R4" s="514"/>
      <c r="S4" s="514"/>
    </row>
    <row r="5" spans="1:19" ht="16.5" thickBot="1">
      <c r="A5" s="105"/>
      <c r="B5" s="106"/>
      <c r="C5" s="108"/>
      <c r="D5" s="107"/>
      <c r="E5" s="108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99"/>
      <c r="Q5" s="99"/>
    </row>
    <row r="6" spans="1:19" ht="16.5" thickBot="1">
      <c r="A6" s="105" t="s">
        <v>177</v>
      </c>
      <c r="B6" s="110">
        <v>70</v>
      </c>
      <c r="C6" s="112">
        <v>78</v>
      </c>
      <c r="D6" s="111">
        <v>26000</v>
      </c>
      <c r="E6" s="129">
        <v>0.7</v>
      </c>
      <c r="F6" s="131">
        <v>70</v>
      </c>
      <c r="G6" s="113">
        <f>0.465*$O$6*0.004</f>
        <v>1.1773800000000002E-3</v>
      </c>
      <c r="H6" s="131">
        <v>70</v>
      </c>
      <c r="I6" s="113">
        <f>0.465*$O6*0.071</f>
        <v>2.0898495E-2</v>
      </c>
      <c r="J6" s="131">
        <v>70</v>
      </c>
      <c r="K6" s="113">
        <f>0.465*$O6*0.925</f>
        <v>0.27226912500000006</v>
      </c>
      <c r="L6" s="131">
        <v>70</v>
      </c>
      <c r="M6" s="113">
        <f>0.7*O6</f>
        <v>0.44309999999999999</v>
      </c>
      <c r="N6" s="131">
        <v>70</v>
      </c>
      <c r="O6" s="114">
        <v>0.63300000000000001</v>
      </c>
      <c r="P6" s="312"/>
      <c r="Q6" s="512"/>
      <c r="R6" s="69"/>
      <c r="S6" s="69"/>
    </row>
    <row r="7" spans="1:19" ht="16.5" thickBot="1">
      <c r="A7" s="105" t="s">
        <v>177</v>
      </c>
      <c r="B7" s="115">
        <v>80</v>
      </c>
      <c r="C7" s="117">
        <v>88</v>
      </c>
      <c r="D7" s="116">
        <v>26000</v>
      </c>
      <c r="E7" s="129">
        <v>0.5</v>
      </c>
      <c r="F7" s="132">
        <v>80</v>
      </c>
      <c r="G7" s="113">
        <f>0.495*$O$7*0.004</f>
        <v>5.9400000000000002E-4</v>
      </c>
      <c r="H7" s="132">
        <v>80</v>
      </c>
      <c r="I7" s="113">
        <f>0.495*$O7*0.071</f>
        <v>1.0543499999999999E-2</v>
      </c>
      <c r="J7" s="132">
        <v>80</v>
      </c>
      <c r="K7" s="113">
        <f>0.495*$O7*0.925</f>
        <v>0.1373625</v>
      </c>
      <c r="L7" s="132">
        <v>80</v>
      </c>
      <c r="M7" s="113">
        <f>0.7*O7</f>
        <v>0.21</v>
      </c>
      <c r="N7" s="132">
        <v>80</v>
      </c>
      <c r="O7" s="114">
        <v>0.3</v>
      </c>
      <c r="P7" s="99"/>
      <c r="Q7" s="512"/>
      <c r="R7" s="69"/>
      <c r="S7" s="69"/>
    </row>
    <row r="8" spans="1:19" ht="16.5" thickBot="1">
      <c r="A8" s="105" t="s">
        <v>177</v>
      </c>
      <c r="B8" s="110">
        <v>90</v>
      </c>
      <c r="C8" s="117">
        <v>97</v>
      </c>
      <c r="D8" s="118">
        <v>26000</v>
      </c>
      <c r="E8" s="129">
        <v>0.3</v>
      </c>
      <c r="F8" s="131">
        <v>90</v>
      </c>
      <c r="G8" s="113">
        <f>0.495*$O$8*0.005</f>
        <v>7.0042499999999996E-4</v>
      </c>
      <c r="H8" s="131">
        <v>90</v>
      </c>
      <c r="I8" s="113">
        <f>0.495*$O8*0.095</f>
        <v>1.3308074999999999E-2</v>
      </c>
      <c r="J8" s="131">
        <v>90</v>
      </c>
      <c r="K8" s="113">
        <f>0.495*$O8*0.9</f>
        <v>0.12607649999999998</v>
      </c>
      <c r="L8" s="131">
        <v>90</v>
      </c>
      <c r="M8" s="113">
        <f>0.7*O8</f>
        <v>0.19809999999999997</v>
      </c>
      <c r="N8" s="131">
        <v>90</v>
      </c>
      <c r="O8" s="114">
        <v>0.28299999999999997</v>
      </c>
      <c r="P8" s="99"/>
      <c r="Q8" s="512"/>
      <c r="R8" s="69"/>
      <c r="S8" s="69"/>
    </row>
    <row r="9" spans="1:19" ht="16.5" thickBot="1">
      <c r="A9" s="105" t="s">
        <v>177</v>
      </c>
      <c r="B9" s="115">
        <v>100</v>
      </c>
      <c r="C9" s="112">
        <v>103.5</v>
      </c>
      <c r="D9" s="111">
        <v>26000</v>
      </c>
      <c r="E9" s="129">
        <v>0.28000000000000003</v>
      </c>
      <c r="F9" s="132">
        <v>100</v>
      </c>
      <c r="G9" s="113">
        <f>0.495*$O$9*0.005</f>
        <v>5.6182500000000006E-4</v>
      </c>
      <c r="H9" s="132">
        <v>100</v>
      </c>
      <c r="I9" s="113">
        <f>0.495*$O9*0.095</f>
        <v>1.0674675000000002E-2</v>
      </c>
      <c r="J9" s="132">
        <v>100</v>
      </c>
      <c r="K9" s="113">
        <f>0.495*$O9*0.9</f>
        <v>0.10112850000000001</v>
      </c>
      <c r="L9" s="132">
        <v>100</v>
      </c>
      <c r="M9" s="113">
        <f>0.7*O9</f>
        <v>0.15889999999999999</v>
      </c>
      <c r="N9" s="132">
        <v>100</v>
      </c>
      <c r="O9" s="114">
        <v>0.22700000000000001</v>
      </c>
      <c r="P9" s="99"/>
      <c r="Q9" s="512"/>
      <c r="R9" s="69"/>
      <c r="S9" s="69"/>
    </row>
    <row r="10" spans="1:19" ht="16.5" thickBot="1">
      <c r="A10" s="105" t="s">
        <v>177</v>
      </c>
      <c r="B10" s="110">
        <v>110</v>
      </c>
      <c r="C10" s="119">
        <v>110</v>
      </c>
      <c r="D10" s="116">
        <v>26000</v>
      </c>
      <c r="E10" s="129">
        <v>0.26</v>
      </c>
      <c r="F10" s="131">
        <v>110</v>
      </c>
      <c r="G10" s="113">
        <f>0.465*$O$10*0.015</f>
        <v>1.1857500000000002E-3</v>
      </c>
      <c r="H10" s="131">
        <v>110</v>
      </c>
      <c r="I10" s="113">
        <f>0.465*$O10*0.13</f>
        <v>1.0276500000000001E-2</v>
      </c>
      <c r="J10" s="131">
        <v>110</v>
      </c>
      <c r="K10" s="113">
        <f>0.465*$O10*0.855</f>
        <v>6.7587750000000002E-2</v>
      </c>
      <c r="L10" s="131">
        <v>110</v>
      </c>
      <c r="M10" s="113">
        <f>0.7*O10</f>
        <v>0.11899999999999999</v>
      </c>
      <c r="N10" s="131">
        <v>110</v>
      </c>
      <c r="O10" s="114">
        <v>0.17</v>
      </c>
      <c r="P10" s="99"/>
      <c r="Q10" s="512"/>
      <c r="R10" s="69"/>
      <c r="S10" s="69"/>
    </row>
    <row r="11" spans="1:19" ht="16.5" thickBot="1">
      <c r="A11" s="105" t="s">
        <v>177</v>
      </c>
      <c r="B11" s="115">
        <v>120</v>
      </c>
      <c r="C11" s="119">
        <v>117</v>
      </c>
      <c r="D11" s="118">
        <v>26000</v>
      </c>
      <c r="E11" s="129">
        <v>0.24</v>
      </c>
      <c r="F11" s="132">
        <v>120</v>
      </c>
      <c r="G11" s="113">
        <f>0.448*$O$11*0.011</f>
        <v>1.0743039999999999E-3</v>
      </c>
      <c r="H11" s="132">
        <v>120</v>
      </c>
      <c r="I11" s="113">
        <f>0.448*$O11*0.154</f>
        <v>1.5040256E-2</v>
      </c>
      <c r="J11" s="132">
        <v>120</v>
      </c>
      <c r="K11" s="113">
        <f>0.448*$O11*0.835</f>
        <v>8.1549440000000001E-2</v>
      </c>
      <c r="L11" s="132">
        <v>120</v>
      </c>
      <c r="M11" s="113">
        <f>0.72*O11</f>
        <v>0.15695999999999999</v>
      </c>
      <c r="N11" s="132">
        <v>120</v>
      </c>
      <c r="O11" s="114">
        <v>0.218</v>
      </c>
      <c r="P11" s="99"/>
      <c r="Q11" s="512"/>
      <c r="R11" s="69"/>
      <c r="S11" s="513"/>
    </row>
    <row r="12" spans="1:19" ht="16.5" thickBot="1">
      <c r="A12" s="120"/>
      <c r="B12" s="121"/>
      <c r="C12" s="123"/>
      <c r="D12" s="122"/>
      <c r="E12" s="130"/>
      <c r="F12" s="133"/>
      <c r="G12" s="124"/>
      <c r="H12" s="133"/>
      <c r="I12" s="124"/>
      <c r="J12" s="133"/>
      <c r="K12" s="124"/>
      <c r="L12" s="133"/>
      <c r="M12" s="124"/>
      <c r="N12" s="133"/>
      <c r="O12" s="125"/>
      <c r="P12" s="99"/>
      <c r="Q12" s="512"/>
      <c r="R12" s="69"/>
      <c r="S12" s="69"/>
    </row>
    <row r="13" spans="1:19" ht="16.5" thickBot="1">
      <c r="A13" s="105" t="s">
        <v>178</v>
      </c>
      <c r="B13" s="106">
        <v>70</v>
      </c>
      <c r="C13" s="112">
        <v>78</v>
      </c>
      <c r="D13" s="111">
        <v>50000</v>
      </c>
      <c r="E13" s="129">
        <v>0.7</v>
      </c>
      <c r="F13" s="103">
        <v>70</v>
      </c>
      <c r="G13" s="113">
        <f>0.465*O13*0.004</f>
        <v>1.1773800000000002E-3</v>
      </c>
      <c r="H13" s="103">
        <v>70</v>
      </c>
      <c r="I13" s="113">
        <f>0.465*$O13*0.071</f>
        <v>2.0898495E-2</v>
      </c>
      <c r="J13" s="103">
        <v>70</v>
      </c>
      <c r="K13" s="113">
        <f>0.465*$O13*0.925</f>
        <v>0.27226912500000006</v>
      </c>
      <c r="L13" s="103">
        <v>70</v>
      </c>
      <c r="M13" s="113">
        <f>0.7*O13</f>
        <v>0.44309999999999999</v>
      </c>
      <c r="N13" s="103">
        <v>70</v>
      </c>
      <c r="O13" s="114">
        <v>0.63300000000000001</v>
      </c>
      <c r="P13" s="99"/>
      <c r="Q13" s="512"/>
      <c r="R13" s="69"/>
      <c r="S13" s="69"/>
    </row>
    <row r="14" spans="1:19" ht="16.5" thickBot="1">
      <c r="A14" s="105" t="s">
        <v>178</v>
      </c>
      <c r="B14" s="126">
        <v>80</v>
      </c>
      <c r="C14" s="117">
        <v>88</v>
      </c>
      <c r="D14" s="111">
        <v>50000</v>
      </c>
      <c r="E14" s="129">
        <v>0.5</v>
      </c>
      <c r="F14" s="104">
        <v>80</v>
      </c>
      <c r="G14" s="113">
        <f>0.495*O14*0.004</f>
        <v>5.9400000000000002E-4</v>
      </c>
      <c r="H14" s="104">
        <v>80</v>
      </c>
      <c r="I14" s="113">
        <f>0.495*$O14*0.071</f>
        <v>1.0543499999999999E-2</v>
      </c>
      <c r="J14" s="104">
        <v>80</v>
      </c>
      <c r="K14" s="113">
        <f>0.495*$O14*0.925</f>
        <v>0.1373625</v>
      </c>
      <c r="L14" s="104">
        <v>80</v>
      </c>
      <c r="M14" s="113">
        <f>0.7*O14</f>
        <v>0.21</v>
      </c>
      <c r="N14" s="104">
        <v>80</v>
      </c>
      <c r="O14" s="114">
        <v>0.3</v>
      </c>
      <c r="P14" s="99"/>
      <c r="Q14" s="512"/>
      <c r="R14" s="69"/>
      <c r="S14" s="69"/>
    </row>
    <row r="15" spans="1:19" ht="16.5" thickBot="1">
      <c r="A15" s="105" t="s">
        <v>178</v>
      </c>
      <c r="B15" s="106">
        <v>90</v>
      </c>
      <c r="C15" s="117">
        <v>97</v>
      </c>
      <c r="D15" s="111">
        <v>50000</v>
      </c>
      <c r="E15" s="129">
        <v>0.3</v>
      </c>
      <c r="F15" s="103">
        <v>90</v>
      </c>
      <c r="G15" s="113">
        <f>0.495*O15*0.005</f>
        <v>7.0042499999999996E-4</v>
      </c>
      <c r="H15" s="103">
        <v>90</v>
      </c>
      <c r="I15" s="113">
        <f>0.495*$O15*0.095</f>
        <v>1.3308074999999999E-2</v>
      </c>
      <c r="J15" s="103">
        <v>90</v>
      </c>
      <c r="K15" s="113">
        <f>0.495*$O15*0.9</f>
        <v>0.12607649999999998</v>
      </c>
      <c r="L15" s="103">
        <v>90</v>
      </c>
      <c r="M15" s="113">
        <f>0.7*O15</f>
        <v>0.19809999999999997</v>
      </c>
      <c r="N15" s="103">
        <v>90</v>
      </c>
      <c r="O15" s="114">
        <v>0.28299999999999997</v>
      </c>
      <c r="P15" s="99"/>
      <c r="Q15" s="512"/>
      <c r="R15" s="69"/>
      <c r="S15" s="69"/>
    </row>
    <row r="16" spans="1:19" ht="16.5" thickBot="1">
      <c r="A16" s="105" t="s">
        <v>178</v>
      </c>
      <c r="B16" s="126">
        <v>100</v>
      </c>
      <c r="C16" s="112">
        <v>103.5</v>
      </c>
      <c r="D16" s="111">
        <v>50000</v>
      </c>
      <c r="E16" s="129">
        <v>0.28000000000000003</v>
      </c>
      <c r="F16" s="104">
        <v>100</v>
      </c>
      <c r="G16" s="113">
        <f>0.495*O16*0.005</f>
        <v>5.6182500000000006E-4</v>
      </c>
      <c r="H16" s="104">
        <v>100</v>
      </c>
      <c r="I16" s="113">
        <f>0.495*$O16*0.095</f>
        <v>1.0674675000000002E-2</v>
      </c>
      <c r="J16" s="104">
        <v>100</v>
      </c>
      <c r="K16" s="113">
        <f>0.495*$O16*0.9</f>
        <v>0.10112850000000001</v>
      </c>
      <c r="L16" s="104">
        <v>100</v>
      </c>
      <c r="M16" s="113">
        <f>0.7*O16</f>
        <v>0.15889999999999999</v>
      </c>
      <c r="N16" s="104">
        <v>100</v>
      </c>
      <c r="O16" s="114">
        <v>0.22700000000000001</v>
      </c>
      <c r="P16" s="99"/>
      <c r="Q16" s="512"/>
      <c r="R16" s="69"/>
      <c r="S16" s="69"/>
    </row>
    <row r="17" spans="1:20" ht="16.5" thickBot="1">
      <c r="A17" s="105" t="s">
        <v>178</v>
      </c>
      <c r="B17" s="106">
        <v>110</v>
      </c>
      <c r="C17" s="119">
        <v>110</v>
      </c>
      <c r="D17" s="111">
        <v>50000</v>
      </c>
      <c r="E17" s="129">
        <v>0.26</v>
      </c>
      <c r="F17" s="103">
        <v>110</v>
      </c>
      <c r="G17" s="113">
        <f>0.465*O17*0.015</f>
        <v>1.1857500000000002E-3</v>
      </c>
      <c r="H17" s="103">
        <v>110</v>
      </c>
      <c r="I17" s="113">
        <f>0.465*$O17*0.13</f>
        <v>1.0276500000000001E-2</v>
      </c>
      <c r="J17" s="103">
        <v>110</v>
      </c>
      <c r="K17" s="113">
        <f>0.465*$O17*0.855</f>
        <v>6.7587750000000002E-2</v>
      </c>
      <c r="L17" s="103">
        <v>110</v>
      </c>
      <c r="M17" s="113">
        <f>0.7*O17</f>
        <v>0.11899999999999999</v>
      </c>
      <c r="N17" s="103">
        <v>110</v>
      </c>
      <c r="O17" s="114">
        <v>0.17</v>
      </c>
      <c r="P17" s="99"/>
      <c r="Q17" s="512"/>
      <c r="R17" s="69"/>
      <c r="S17" s="69"/>
    </row>
    <row r="18" spans="1:20" ht="16.5" thickBot="1">
      <c r="A18" s="120"/>
      <c r="B18" s="121"/>
      <c r="C18" s="123"/>
      <c r="D18" s="122"/>
      <c r="E18" s="130"/>
      <c r="F18" s="133"/>
      <c r="G18" s="124"/>
      <c r="H18" s="133"/>
      <c r="I18" s="124"/>
      <c r="J18" s="133"/>
      <c r="K18" s="124"/>
      <c r="L18" s="133"/>
      <c r="M18" s="124"/>
      <c r="N18" s="133"/>
      <c r="O18" s="125"/>
      <c r="P18" s="99"/>
      <c r="Q18" s="512"/>
      <c r="R18" s="69"/>
      <c r="S18" s="69"/>
    </row>
    <row r="19" spans="1:20" ht="16.5" thickBot="1">
      <c r="A19" s="105" t="s">
        <v>179</v>
      </c>
      <c r="B19" s="106">
        <v>70</v>
      </c>
      <c r="C19" s="112">
        <v>78</v>
      </c>
      <c r="D19" s="111">
        <v>130000</v>
      </c>
      <c r="E19" s="129">
        <v>0.7</v>
      </c>
      <c r="F19" s="103">
        <v>70</v>
      </c>
      <c r="G19" s="113">
        <f>0.465*O19*0.004</f>
        <v>1.1773800000000002E-3</v>
      </c>
      <c r="H19" s="103">
        <v>70</v>
      </c>
      <c r="I19" s="113">
        <f>0.465*$O19*0.071</f>
        <v>2.0898495E-2</v>
      </c>
      <c r="J19" s="103">
        <v>70</v>
      </c>
      <c r="K19" s="113">
        <f>0.465*$O19*0.925</f>
        <v>0.27226912500000006</v>
      </c>
      <c r="L19" s="103">
        <v>70</v>
      </c>
      <c r="M19" s="113">
        <f>0.7*O19</f>
        <v>0.44309999999999999</v>
      </c>
      <c r="N19" s="103">
        <v>70</v>
      </c>
      <c r="O19" s="114">
        <v>0.63300000000000001</v>
      </c>
      <c r="P19" s="99"/>
      <c r="Q19" s="512"/>
      <c r="R19" s="69"/>
      <c r="S19" s="69"/>
    </row>
    <row r="20" spans="1:20" ht="16.5" thickBot="1">
      <c r="A20" s="105" t="s">
        <v>179</v>
      </c>
      <c r="B20" s="126">
        <v>80</v>
      </c>
      <c r="C20" s="117">
        <v>88</v>
      </c>
      <c r="D20" s="111">
        <v>130000</v>
      </c>
      <c r="E20" s="129">
        <v>0.5</v>
      </c>
      <c r="F20" s="104">
        <v>80</v>
      </c>
      <c r="G20" s="113">
        <f>0.495*O20*0.004</f>
        <v>5.9400000000000002E-4</v>
      </c>
      <c r="H20" s="104">
        <v>80</v>
      </c>
      <c r="I20" s="113">
        <f>0.495*$O20*0.071</f>
        <v>1.0543499999999999E-2</v>
      </c>
      <c r="J20" s="104">
        <v>80</v>
      </c>
      <c r="K20" s="113">
        <f>0.495*$O20*0.925</f>
        <v>0.1373625</v>
      </c>
      <c r="L20" s="104">
        <v>80</v>
      </c>
      <c r="M20" s="113">
        <f>0.7*O20</f>
        <v>0.21</v>
      </c>
      <c r="N20" s="104">
        <v>80</v>
      </c>
      <c r="O20" s="114">
        <v>0.3</v>
      </c>
      <c r="P20" s="99"/>
      <c r="Q20" s="512"/>
      <c r="R20" s="69"/>
      <c r="S20" s="69"/>
    </row>
    <row r="21" spans="1:20" ht="16.5" thickBot="1">
      <c r="A21" s="105" t="s">
        <v>179</v>
      </c>
      <c r="B21" s="106">
        <v>90</v>
      </c>
      <c r="C21" s="117">
        <v>97</v>
      </c>
      <c r="D21" s="111">
        <v>130000</v>
      </c>
      <c r="E21" s="129">
        <v>0.3</v>
      </c>
      <c r="F21" s="103">
        <v>90</v>
      </c>
      <c r="G21" s="113">
        <f>0.495*O21*0.005</f>
        <v>7.0042499999999996E-4</v>
      </c>
      <c r="H21" s="103">
        <v>90</v>
      </c>
      <c r="I21" s="113">
        <f>0.495*$O21*0.095</f>
        <v>1.3308074999999999E-2</v>
      </c>
      <c r="J21" s="103">
        <v>90</v>
      </c>
      <c r="K21" s="113">
        <f>0.495*$O21*0.9</f>
        <v>0.12607649999999998</v>
      </c>
      <c r="L21" s="103">
        <v>90</v>
      </c>
      <c r="M21" s="113">
        <f>0.7*O21</f>
        <v>0.19809999999999997</v>
      </c>
      <c r="N21" s="103">
        <v>90</v>
      </c>
      <c r="O21" s="114">
        <v>0.28299999999999997</v>
      </c>
      <c r="P21" s="99"/>
      <c r="Q21" s="512"/>
      <c r="R21" s="69"/>
      <c r="S21" s="69"/>
    </row>
    <row r="22" spans="1:20" ht="16.5" thickBot="1">
      <c r="A22" s="105" t="s">
        <v>179</v>
      </c>
      <c r="B22" s="126">
        <v>100</v>
      </c>
      <c r="C22" s="112">
        <v>103.5</v>
      </c>
      <c r="D22" s="111">
        <v>130000</v>
      </c>
      <c r="E22" s="129">
        <v>0.28000000000000003</v>
      </c>
      <c r="F22" s="104">
        <v>100</v>
      </c>
      <c r="G22" s="113">
        <f>0.495*O22*0.005</f>
        <v>5.6182500000000006E-4</v>
      </c>
      <c r="H22" s="104">
        <v>100</v>
      </c>
      <c r="I22" s="113">
        <f>0.495*$O22*0.095</f>
        <v>1.0674675000000002E-2</v>
      </c>
      <c r="J22" s="104">
        <v>100</v>
      </c>
      <c r="K22" s="113">
        <f>0.495*$O22*0.9</f>
        <v>0.10112850000000001</v>
      </c>
      <c r="L22" s="104">
        <v>100</v>
      </c>
      <c r="M22" s="113">
        <f>0.7*O22</f>
        <v>0.15889999999999999</v>
      </c>
      <c r="N22" s="104">
        <v>100</v>
      </c>
      <c r="O22" s="114">
        <v>0.22700000000000001</v>
      </c>
      <c r="P22" s="99"/>
      <c r="Q22" s="512"/>
      <c r="R22" s="69"/>
      <c r="S22" s="69"/>
    </row>
    <row r="23" spans="1:20">
      <c r="A23" s="99"/>
      <c r="B23" s="71" t="s">
        <v>270</v>
      </c>
      <c r="C23" s="99">
        <f>IF($F$2=4,VLOOKUP($G$2,B6:C11,2),IF($F$2=6,VLOOKUP($G$2,B13:C17,2),VLOOKUP($G$2,B19:C22,2)))</f>
        <v>103.5</v>
      </c>
      <c r="D23" s="99"/>
      <c r="E23" s="99"/>
      <c r="F23" s="134"/>
      <c r="G23" s="135">
        <f>IF($F$2=4,VLOOKUP($G$2,F6:G11,2),IF($F$2=6,VLOOKUP($G$2,F13:G17,2),VLOOKUP($G$2,F19:G22,2)))</f>
        <v>5.6182500000000006E-4</v>
      </c>
      <c r="H23" s="135"/>
      <c r="I23" s="135">
        <f>IF($F$2=4,VLOOKUP($G$2,H6:I11,2),IF($F$2=6,VLOOKUP($G$2,H13:I17,2),VLOOKUP($G$2,H19:I22,2)))</f>
        <v>1.0674675000000002E-2</v>
      </c>
      <c r="J23" s="135"/>
      <c r="K23" s="135">
        <f>IF($F$2=4,VLOOKUP($G$2,J6:K11,2),IF($F$2=6,VLOOKUP($G$2,J13:K17,2),VLOOKUP($G$2,J19:K22,2)))</f>
        <v>0.10112850000000001</v>
      </c>
      <c r="L23" s="135"/>
      <c r="M23" s="135">
        <f>IF($F$2=4,VLOOKUP($G$2,L6:M11,2),IF($F$2=6,VLOOKUP($G$2,L13:M17,2),VLOOKUP($G$2,L19:M22,2)))</f>
        <v>0.15889999999999999</v>
      </c>
      <c r="N23" s="135"/>
      <c r="O23" s="246">
        <f>IF($F$2=4,VLOOKUP($G$2,N6:O11,2),IF($F$2=6,VLOOKUP($G$2,N13:O17,2),VLOOKUP($G$2,N19:O22,2)))</f>
        <v>0.22700000000000001</v>
      </c>
      <c r="P23" s="99"/>
      <c r="Q23" s="512"/>
      <c r="R23" s="69"/>
    </row>
    <row r="24" spans="1:20">
      <c r="A24" s="99"/>
      <c r="B24" s="99"/>
      <c r="C24" s="99"/>
      <c r="D24" s="99"/>
      <c r="E24" s="99"/>
      <c r="F24" s="26" t="s">
        <v>781</v>
      </c>
      <c r="G24" s="127">
        <f>IF($H$2=4,VLOOKUP($I$2,F6:G11,2),IF($H$2=6,VLOOKUP($I$2,F13:G17,2),VLOOKUP($I$2,F19:G22,2)))</f>
        <v>5.6182500000000006E-4</v>
      </c>
      <c r="H24" s="127"/>
      <c r="I24" s="127">
        <f>IF($H$2=4,VLOOKUP($I$2,H6:I11,2),IF($H$2=6,VLOOKUP($I$2,H13:I17,2),VLOOKUP($I$2,H19:I22,2)))</f>
        <v>1.0674675000000002E-2</v>
      </c>
      <c r="J24" s="127"/>
      <c r="K24" s="127">
        <f>IF($H$2=4,VLOOKUP($I$2,J6:K11,2),IF($H$2=6,VLOOKUP($I$2,J13:K17,2),VLOOKUP($I$2,J19:K22,2)))</f>
        <v>0.10112850000000001</v>
      </c>
      <c r="L24" s="127"/>
      <c r="M24" s="127">
        <f>IF($H$2=4,VLOOKUP($I$2,L6:M11,2),IF($H$2=6,VLOOKUP($I$2,L13:M17,2),VLOOKUP($I$2,L19:M22,2)))</f>
        <v>0.15889999999999999</v>
      </c>
      <c r="N24" s="127"/>
      <c r="O24" s="127">
        <f>IF($H$2=4,VLOOKUP($I$2,N6:O11,2),IF($H$2=6,VLOOKUP($I$2,N13:O17,2),VLOOKUP($I$2,N19:O22,2)))</f>
        <v>0.22700000000000001</v>
      </c>
      <c r="P24" s="99"/>
      <c r="Q24" s="512"/>
      <c r="R24" s="69"/>
    </row>
    <row r="25" spans="1:20">
      <c r="A25" s="99"/>
      <c r="B25" s="99"/>
      <c r="C25" s="99"/>
      <c r="D25" s="99"/>
      <c r="E25" s="99"/>
      <c r="F25" s="26" t="s">
        <v>782</v>
      </c>
      <c r="G25" s="127">
        <f>G24</f>
        <v>5.6182500000000006E-4</v>
      </c>
      <c r="H25" s="127"/>
      <c r="I25" s="127">
        <f>I24*'ASEK 7.1'!B62</f>
        <v>1.8146947500000003E-2</v>
      </c>
      <c r="J25" s="127"/>
      <c r="K25" s="127">
        <f>K24*'ASEK 7.1'!B63</f>
        <v>0.17191845</v>
      </c>
      <c r="L25" s="127"/>
      <c r="M25" s="127">
        <f>M24*'ASEK 7.1'!B64</f>
        <v>1.1122999999999998</v>
      </c>
      <c r="N25" s="127"/>
      <c r="O25" s="127"/>
      <c r="P25" s="99"/>
      <c r="Q25" s="512"/>
      <c r="R25" s="69"/>
    </row>
    <row r="26" spans="1:20">
      <c r="A26" s="99"/>
      <c r="B26" s="99"/>
      <c r="C26" s="99"/>
      <c r="D26" s="99"/>
      <c r="E26" s="99"/>
      <c r="F26" s="99"/>
      <c r="G26" s="127"/>
      <c r="H26" s="127"/>
      <c r="I26" s="127"/>
      <c r="J26" s="127"/>
      <c r="K26" s="127"/>
      <c r="L26" s="127"/>
      <c r="M26" s="127"/>
      <c r="N26" s="127"/>
      <c r="O26" s="127"/>
      <c r="P26" s="99"/>
      <c r="Q26" s="512"/>
      <c r="R26" s="69"/>
    </row>
    <row r="27" spans="1:20">
      <c r="A27" s="99"/>
      <c r="B27" s="99"/>
      <c r="C27" s="99"/>
      <c r="D27" s="99"/>
      <c r="E27" s="99"/>
      <c r="F27" s="99"/>
      <c r="G27" s="524" t="s">
        <v>780</v>
      </c>
      <c r="H27" s="524"/>
      <c r="I27" s="127"/>
      <c r="J27" s="127"/>
      <c r="K27" s="127"/>
      <c r="L27" s="127"/>
      <c r="M27" s="127"/>
      <c r="N27" s="127"/>
      <c r="O27" s="127"/>
      <c r="P27" s="99"/>
      <c r="Q27" s="512"/>
      <c r="R27" s="69"/>
    </row>
    <row r="28" spans="1:20">
      <c r="A28" s="99"/>
      <c r="B28" s="99"/>
      <c r="C28" s="99"/>
      <c r="D28" s="99"/>
      <c r="E28" s="99"/>
      <c r="F28" s="99"/>
      <c r="G28" s="523" t="s">
        <v>150</v>
      </c>
      <c r="H28" s="523" t="s">
        <v>774</v>
      </c>
      <c r="I28" s="523" t="s">
        <v>775</v>
      </c>
      <c r="J28" s="523" t="s">
        <v>776</v>
      </c>
      <c r="K28" s="527" t="s">
        <v>480</v>
      </c>
      <c r="L28" s="531"/>
      <c r="M28" s="127"/>
      <c r="N28" s="127"/>
      <c r="O28" s="127"/>
      <c r="P28" s="26"/>
      <c r="Q28" s="99"/>
    </row>
    <row r="29" spans="1:20">
      <c r="C29" s="99"/>
      <c r="D29" s="99"/>
      <c r="E29" s="99"/>
      <c r="F29" s="99"/>
      <c r="G29" s="528">
        <f>G25</f>
        <v>5.6182500000000006E-4</v>
      </c>
      <c r="H29" s="528">
        <f>H32*I25+L32*K25</f>
        <v>4.4374062150000001E-3</v>
      </c>
      <c r="I29" s="528">
        <f>I32*I25+M32*K25</f>
        <v>2.2811668110000002E-2</v>
      </c>
      <c r="J29" s="528">
        <f>K32*I25+O32*K25</f>
        <v>0.162816323175</v>
      </c>
      <c r="K29" s="529">
        <f>M25</f>
        <v>1.1122999999999998</v>
      </c>
      <c r="L29" s="528"/>
      <c r="M29" s="319"/>
      <c r="N29" s="319"/>
      <c r="O29" s="319"/>
      <c r="P29" s="99"/>
      <c r="Q29" s="99"/>
    </row>
    <row r="30" spans="1:20">
      <c r="C30" s="99"/>
      <c r="M30" s="319"/>
      <c r="N30" s="319"/>
      <c r="O30" s="319"/>
      <c r="P30" s="319"/>
      <c r="Q30" s="319"/>
      <c r="R30" s="319"/>
      <c r="S30" s="99"/>
      <c r="T30" s="99"/>
    </row>
    <row r="31" spans="1:20">
      <c r="C31" s="99"/>
      <c r="D31" s="99"/>
      <c r="E31" s="99"/>
      <c r="F31" s="99"/>
      <c r="G31" s="521" t="s">
        <v>765</v>
      </c>
      <c r="H31" s="521" t="s">
        <v>766</v>
      </c>
      <c r="I31" s="521" t="s">
        <v>770</v>
      </c>
      <c r="J31" s="521" t="s">
        <v>767</v>
      </c>
      <c r="K31" s="521" t="s">
        <v>772</v>
      </c>
      <c r="L31" s="521" t="s">
        <v>768</v>
      </c>
      <c r="M31" s="521" t="s">
        <v>771</v>
      </c>
      <c r="N31" s="521" t="s">
        <v>769</v>
      </c>
      <c r="O31" s="521" t="s">
        <v>773</v>
      </c>
      <c r="P31" s="99"/>
      <c r="Q31" s="99"/>
    </row>
    <row r="32" spans="1:20">
      <c r="A32" s="99"/>
      <c r="B32" s="99"/>
      <c r="C32" s="99"/>
      <c r="D32" s="99"/>
      <c r="E32" s="99"/>
      <c r="F32" s="99"/>
      <c r="G32" s="528">
        <f>'MCS Indata &amp; Resultat'!C21</f>
        <v>100</v>
      </c>
      <c r="H32" s="530">
        <f>VLOOKUP(G32,G35:O40,2,FALSE)</f>
        <v>7.3999999999999996E-2</v>
      </c>
      <c r="I32" s="530">
        <f t="shared" ref="I32:O32" si="0">VLOOKUP(H32,H35:P40,2,FALSE)</f>
        <v>0.19600000000000001</v>
      </c>
      <c r="J32" s="528">
        <f t="shared" si="0"/>
        <v>0.27</v>
      </c>
      <c r="K32" s="530">
        <f t="shared" si="0"/>
        <v>0.73</v>
      </c>
      <c r="L32" s="530">
        <f t="shared" si="0"/>
        <v>1.7999999999999999E-2</v>
      </c>
      <c r="M32" s="530">
        <f t="shared" si="0"/>
        <v>0.112</v>
      </c>
      <c r="N32" s="528">
        <f t="shared" si="0"/>
        <v>0.13</v>
      </c>
      <c r="O32" s="530">
        <f t="shared" si="0"/>
        <v>0.87</v>
      </c>
      <c r="P32" s="99"/>
      <c r="Q32" s="99"/>
      <c r="R32" s="99"/>
    </row>
    <row r="33" spans="1:15">
      <c r="A33" s="520"/>
      <c r="B33" s="520"/>
      <c r="C33" s="520"/>
      <c r="D33" s="520"/>
      <c r="E33" s="520"/>
      <c r="F33" s="520"/>
      <c r="G33" s="320"/>
      <c r="H33" s="320"/>
      <c r="I33" s="320"/>
      <c r="J33" s="320"/>
      <c r="K33" s="320"/>
      <c r="L33" s="320"/>
      <c r="M33" s="320"/>
      <c r="N33" s="320"/>
      <c r="O33" s="320"/>
    </row>
    <row r="34" spans="1:15">
      <c r="A34" s="520"/>
      <c r="B34" s="520"/>
      <c r="C34" s="520"/>
      <c r="D34" s="520"/>
      <c r="E34" s="520"/>
      <c r="F34" s="520"/>
      <c r="G34" s="521" t="s">
        <v>765</v>
      </c>
      <c r="H34" s="521" t="s">
        <v>766</v>
      </c>
      <c r="I34" s="521" t="s">
        <v>770</v>
      </c>
      <c r="J34" s="521" t="s">
        <v>767</v>
      </c>
      <c r="K34" s="521" t="s">
        <v>772</v>
      </c>
      <c r="L34" s="521" t="s">
        <v>768</v>
      </c>
      <c r="M34" s="521" t="s">
        <v>771</v>
      </c>
      <c r="N34" s="521" t="s">
        <v>769</v>
      </c>
      <c r="O34" s="521" t="s">
        <v>773</v>
      </c>
    </row>
    <row r="35" spans="1:15">
      <c r="G35" s="522">
        <v>70</v>
      </c>
      <c r="H35" s="530">
        <v>6.4000000000000001E-2</v>
      </c>
      <c r="I35" s="530">
        <f t="shared" ref="I35:I40" si="1">J35-H35</f>
        <v>0.186</v>
      </c>
      <c r="J35" s="528">
        <v>0.25</v>
      </c>
      <c r="K35" s="530">
        <f t="shared" ref="K35:K40" si="2">1-J35</f>
        <v>0.75</v>
      </c>
      <c r="L35" s="530">
        <v>1.7999999999999999E-2</v>
      </c>
      <c r="M35" s="530">
        <f t="shared" ref="M35:M40" si="3">N35-L35</f>
        <v>0.112</v>
      </c>
      <c r="N35" s="528">
        <v>0.13</v>
      </c>
      <c r="O35" s="530">
        <f t="shared" ref="O35:O40" si="4">1-N35</f>
        <v>0.87</v>
      </c>
    </row>
    <row r="36" spans="1:15">
      <c r="G36" s="522">
        <v>80</v>
      </c>
      <c r="H36" s="530">
        <v>6.4000000000000001E-2</v>
      </c>
      <c r="I36" s="530">
        <f t="shared" si="1"/>
        <v>0.186</v>
      </c>
      <c r="J36" s="528">
        <v>0.25</v>
      </c>
      <c r="K36" s="530">
        <f t="shared" si="2"/>
        <v>0.75</v>
      </c>
      <c r="L36" s="530">
        <v>1.7999999999999999E-2</v>
      </c>
      <c r="M36" s="530">
        <f t="shared" si="3"/>
        <v>0.112</v>
      </c>
      <c r="N36" s="528">
        <v>0.13</v>
      </c>
      <c r="O36" s="530">
        <f t="shared" si="4"/>
        <v>0.87</v>
      </c>
    </row>
    <row r="37" spans="1:15">
      <c r="G37" s="522">
        <v>90</v>
      </c>
      <c r="H37" s="530">
        <v>6.4000000000000001E-2</v>
      </c>
      <c r="I37" s="530">
        <f t="shared" si="1"/>
        <v>0.186</v>
      </c>
      <c r="J37" s="528">
        <v>0.25</v>
      </c>
      <c r="K37" s="530">
        <f t="shared" si="2"/>
        <v>0.75</v>
      </c>
      <c r="L37" s="530">
        <v>1.7999999999999999E-2</v>
      </c>
      <c r="M37" s="530">
        <f t="shared" si="3"/>
        <v>0.112</v>
      </c>
      <c r="N37" s="528">
        <v>0.13</v>
      </c>
      <c r="O37" s="530">
        <f t="shared" si="4"/>
        <v>0.87</v>
      </c>
    </row>
    <row r="38" spans="1:15">
      <c r="G38" s="522">
        <v>100</v>
      </c>
      <c r="H38" s="530">
        <v>7.3999999999999996E-2</v>
      </c>
      <c r="I38" s="530">
        <f t="shared" si="1"/>
        <v>0.19600000000000001</v>
      </c>
      <c r="J38" s="528">
        <v>0.27</v>
      </c>
      <c r="K38" s="530">
        <f t="shared" si="2"/>
        <v>0.73</v>
      </c>
      <c r="L38" s="530">
        <v>1.7999999999999999E-2</v>
      </c>
      <c r="M38" s="530">
        <f t="shared" si="3"/>
        <v>0.112</v>
      </c>
      <c r="N38" s="528">
        <v>0.13</v>
      </c>
      <c r="O38" s="530">
        <f t="shared" si="4"/>
        <v>0.87</v>
      </c>
    </row>
    <row r="39" spans="1:15">
      <c r="G39" s="522">
        <v>110</v>
      </c>
      <c r="H39" s="530">
        <v>7.3999999999999996E-2</v>
      </c>
      <c r="I39" s="530">
        <f t="shared" si="1"/>
        <v>0.19600000000000001</v>
      </c>
      <c r="J39" s="528">
        <v>0.27</v>
      </c>
      <c r="K39" s="530">
        <f t="shared" si="2"/>
        <v>0.73</v>
      </c>
      <c r="L39" s="530">
        <v>1.7999999999999999E-2</v>
      </c>
      <c r="M39" s="530">
        <f t="shared" si="3"/>
        <v>0.112</v>
      </c>
      <c r="N39" s="528">
        <v>0.13</v>
      </c>
      <c r="O39" s="530">
        <f t="shared" si="4"/>
        <v>0.87</v>
      </c>
    </row>
    <row r="40" spans="1:15">
      <c r="G40" s="522">
        <v>120</v>
      </c>
      <c r="H40" s="530">
        <v>7.3999999999999996E-2</v>
      </c>
      <c r="I40" s="530">
        <f t="shared" si="1"/>
        <v>0.19600000000000001</v>
      </c>
      <c r="J40" s="528">
        <v>0.27</v>
      </c>
      <c r="K40" s="530">
        <f t="shared" si="2"/>
        <v>0.73</v>
      </c>
      <c r="L40" s="530">
        <v>1.7999999999999999E-2</v>
      </c>
      <c r="M40" s="530">
        <f t="shared" si="3"/>
        <v>0.112</v>
      </c>
      <c r="N40" s="528">
        <v>0.13</v>
      </c>
      <c r="O40" s="530">
        <f t="shared" si="4"/>
        <v>0.87</v>
      </c>
    </row>
    <row r="41" spans="1:15">
      <c r="G41" s="26"/>
      <c r="H41" s="26"/>
      <c r="I41" s="26"/>
      <c r="J41" s="26"/>
      <c r="K41" s="26"/>
      <c r="L41" s="26"/>
      <c r="M41" s="26"/>
      <c r="N41" s="26"/>
      <c r="O41" s="26"/>
    </row>
    <row r="42" spans="1:15">
      <c r="G42" s="26"/>
      <c r="H42" s="26"/>
      <c r="I42" s="26"/>
      <c r="J42" s="26"/>
      <c r="K42" s="26"/>
      <c r="L42" s="26"/>
      <c r="M42" s="26"/>
      <c r="N42" s="26"/>
      <c r="O42" s="26"/>
    </row>
    <row r="43" spans="1:15"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16.5" thickBot="1">
      <c r="G44" s="26"/>
      <c r="H44" s="26"/>
      <c r="I44" s="26"/>
      <c r="J44" s="26"/>
      <c r="K44" s="26"/>
      <c r="L44" s="26"/>
      <c r="M44" s="26"/>
      <c r="N44" s="26"/>
      <c r="O44" s="26"/>
    </row>
    <row r="45" spans="1:15">
      <c r="A45" t="s">
        <v>79</v>
      </c>
      <c r="B45" s="102" t="s">
        <v>180</v>
      </c>
      <c r="I45" s="69"/>
      <c r="J45" s="69"/>
      <c r="K45" s="69"/>
      <c r="L45" s="69"/>
      <c r="M45" s="69"/>
      <c r="N45" s="69"/>
      <c r="O45" s="69"/>
    </row>
    <row r="46" spans="1:15" ht="16.5" thickBot="1">
      <c r="A46" s="316" t="s">
        <v>177</v>
      </c>
      <c r="B46" s="110">
        <v>70</v>
      </c>
    </row>
    <row r="47" spans="1:15" ht="16.5" thickBot="1">
      <c r="A47" s="105" t="s">
        <v>178</v>
      </c>
      <c r="B47" s="115">
        <v>80</v>
      </c>
    </row>
    <row r="48" spans="1:15" ht="16.5" thickBot="1">
      <c r="A48" s="105" t="s">
        <v>179</v>
      </c>
      <c r="B48" s="110">
        <v>90</v>
      </c>
      <c r="G48" t="s">
        <v>540</v>
      </c>
      <c r="H48">
        <v>110</v>
      </c>
    </row>
    <row r="49" spans="1:8" ht="16.5" thickBot="1">
      <c r="B49" s="115">
        <v>100</v>
      </c>
      <c r="G49" t="s">
        <v>541</v>
      </c>
      <c r="H49">
        <v>100</v>
      </c>
    </row>
    <row r="50" spans="1:8" ht="16.5" thickBot="1">
      <c r="B50" s="110">
        <v>110</v>
      </c>
      <c r="G50" t="s">
        <v>542</v>
      </c>
      <c r="H50">
        <f>(H48/H49)^4</f>
        <v>1.4641000000000004</v>
      </c>
    </row>
    <row r="51" spans="1:8" ht="16.5" thickBot="1">
      <c r="B51" s="115">
        <v>120</v>
      </c>
      <c r="G51" t="s">
        <v>543</v>
      </c>
      <c r="H51">
        <f>(H48/H49)^3</f>
        <v>1.3310000000000004</v>
      </c>
    </row>
    <row r="52" spans="1:8">
      <c r="G52" t="s">
        <v>544</v>
      </c>
      <c r="H52">
        <f>(H48/H49)^2</f>
        <v>1.2100000000000002</v>
      </c>
    </row>
    <row r="54" spans="1:8">
      <c r="A54" t="s">
        <v>557</v>
      </c>
      <c r="B54" t="s">
        <v>319</v>
      </c>
    </row>
    <row r="55" spans="1:8">
      <c r="A55" t="s">
        <v>177</v>
      </c>
      <c r="B55">
        <v>75000</v>
      </c>
      <c r="G55" t="s">
        <v>546</v>
      </c>
      <c r="H55" s="317">
        <f>Q30</f>
        <v>0</v>
      </c>
    </row>
    <row r="56" spans="1:8">
      <c r="A56" t="s">
        <v>178</v>
      </c>
      <c r="B56">
        <v>120000</v>
      </c>
      <c r="G56" t="s">
        <v>547</v>
      </c>
      <c r="H56">
        <f>H55/(4+H55)</f>
        <v>0</v>
      </c>
    </row>
    <row r="57" spans="1:8">
      <c r="A57" t="s">
        <v>179</v>
      </c>
      <c r="B57">
        <v>165000</v>
      </c>
      <c r="G57" t="s">
        <v>548</v>
      </c>
      <c r="H57">
        <f>Q31</f>
        <v>0</v>
      </c>
    </row>
    <row r="58" spans="1:8">
      <c r="G58" t="s">
        <v>545</v>
      </c>
      <c r="H58">
        <f>H55+H56*(H57-H55)</f>
        <v>0</v>
      </c>
    </row>
    <row r="59" spans="1:8">
      <c r="A59">
        <f>VLOOKUP('MCS Indata &amp; Resultat'!C9,Normalvärden!A55:B57,2)</f>
        <v>120000</v>
      </c>
    </row>
    <row r="63" spans="1:8">
      <c r="A63" t="s">
        <v>593</v>
      </c>
      <c r="B63">
        <v>2.9999989999999999</v>
      </c>
    </row>
    <row r="65" spans="1:14">
      <c r="A65" s="248"/>
      <c r="D65" t="s">
        <v>551</v>
      </c>
      <c r="I65" t="s">
        <v>552</v>
      </c>
    </row>
    <row r="66" spans="1:14">
      <c r="A66" t="s">
        <v>558</v>
      </c>
      <c r="B66" t="s">
        <v>551</v>
      </c>
      <c r="C66" t="s">
        <v>552</v>
      </c>
      <c r="D66" t="s">
        <v>561</v>
      </c>
      <c r="E66" t="s">
        <v>562</v>
      </c>
      <c r="F66" t="s">
        <v>237</v>
      </c>
      <c r="I66" t="s">
        <v>561</v>
      </c>
      <c r="J66" t="s">
        <v>562</v>
      </c>
      <c r="K66" t="s">
        <v>237</v>
      </c>
    </row>
    <row r="67" spans="1:14">
      <c r="A67" t="s">
        <v>550</v>
      </c>
      <c r="B67">
        <f>52-6</f>
        <v>46</v>
      </c>
      <c r="C67">
        <f>30-7</f>
        <v>23</v>
      </c>
      <c r="I67">
        <v>0</v>
      </c>
      <c r="J67">
        <f>4-2</f>
        <v>2</v>
      </c>
      <c r="K67">
        <f>26-9</f>
        <v>17</v>
      </c>
    </row>
    <row r="68" spans="1:14">
      <c r="A68" t="s">
        <v>553</v>
      </c>
      <c r="B68">
        <f>36-2</f>
        <v>34</v>
      </c>
      <c r="C68">
        <f>14-4</f>
        <v>10</v>
      </c>
      <c r="I68">
        <v>0</v>
      </c>
      <c r="J68">
        <v>1</v>
      </c>
      <c r="K68">
        <f>13-4</f>
        <v>9</v>
      </c>
    </row>
    <row r="69" spans="1:14">
      <c r="A69" t="s">
        <v>554</v>
      </c>
      <c r="B69">
        <f>27-9</f>
        <v>18</v>
      </c>
      <c r="C69">
        <f>14-9</f>
        <v>5</v>
      </c>
      <c r="I69">
        <v>0</v>
      </c>
      <c r="J69">
        <f>4-2</f>
        <v>2</v>
      </c>
      <c r="K69">
        <f>10-3</f>
        <v>7</v>
      </c>
    </row>
    <row r="70" spans="1:14">
      <c r="A70" t="s">
        <v>555</v>
      </c>
      <c r="B70">
        <f>B71-B67-B68-B69</f>
        <v>20</v>
      </c>
      <c r="C70">
        <f>C71-C67-C68-C69</f>
        <v>10</v>
      </c>
      <c r="I70">
        <v>0</v>
      </c>
      <c r="J70">
        <f>J71-J67-J68-J69</f>
        <v>1</v>
      </c>
      <c r="K70">
        <f>K71-K67-K68-K69</f>
        <v>9</v>
      </c>
    </row>
    <row r="71" spans="1:14">
      <c r="A71" t="s">
        <v>556</v>
      </c>
      <c r="B71">
        <f>135-17</f>
        <v>118</v>
      </c>
      <c r="C71">
        <f>68-20</f>
        <v>48</v>
      </c>
      <c r="D71">
        <v>1</v>
      </c>
      <c r="E71">
        <v>17</v>
      </c>
      <c r="F71">
        <v>117</v>
      </c>
      <c r="G71">
        <f>(D71*25.4+E71*4.5+F71*0.25)+(E71+F71)*0.015</f>
        <v>133.16</v>
      </c>
      <c r="H71">
        <f>G71/(D71+E71+F71)</f>
        <v>0.98637037037037034</v>
      </c>
      <c r="I71">
        <v>0</v>
      </c>
      <c r="J71">
        <f>10-4</f>
        <v>6</v>
      </c>
      <c r="K71">
        <f>58-16</f>
        <v>42</v>
      </c>
      <c r="L71">
        <f>(I71*25.4+J71*4.5+K71*0.25)+(J71+K71)*0.015</f>
        <v>38.22</v>
      </c>
      <c r="M71">
        <f>L71/(J71+K71)</f>
        <v>0.79625000000000001</v>
      </c>
      <c r="N71">
        <f>M71/H71</f>
        <v>0.80725255331931511</v>
      </c>
    </row>
    <row r="72" spans="1:14">
      <c r="A72" t="s">
        <v>559</v>
      </c>
      <c r="B72">
        <f>B67/2+B68+B70/2</f>
        <v>67</v>
      </c>
      <c r="C72">
        <f>C67/2+C68+C70/2</f>
        <v>26.5</v>
      </c>
    </row>
    <row r="73" spans="1:14">
      <c r="A73" t="s">
        <v>560</v>
      </c>
      <c r="B73">
        <f>B67/2+B69+B70/2</f>
        <v>51</v>
      </c>
      <c r="C73">
        <f>C67/2+C69+C70/2</f>
        <v>21.5</v>
      </c>
    </row>
    <row r="74" spans="1:14">
      <c r="G74">
        <f>H71/M71</f>
        <v>1.2387696959125529</v>
      </c>
    </row>
  </sheetData>
  <mergeCells count="1">
    <mergeCell ref="A1:B1"/>
  </mergeCells>
  <phoneticPr fontId="27" type="noConversion"/>
  <dataValidations count="1">
    <dataValidation type="list" allowBlank="1" showInputMessage="1" showErrorMessage="1" sqref="G46">
      <formula1>$B$6:$B$11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rgb="FFFF0000"/>
  </sheetPr>
  <dimension ref="A1:P84"/>
  <sheetViews>
    <sheetView workbookViewId="0">
      <selection activeCell="E63" sqref="E63"/>
    </sheetView>
  </sheetViews>
  <sheetFormatPr defaultColWidth="11" defaultRowHeight="15.75"/>
  <cols>
    <col min="1" max="1" width="22" customWidth="1"/>
    <col min="2" max="2" width="31.375" customWidth="1"/>
    <col min="3" max="3" width="11.875" bestFit="1" customWidth="1"/>
    <col min="4" max="4" width="14.5" customWidth="1"/>
    <col min="5" max="5" width="11.125" bestFit="1" customWidth="1"/>
    <col min="6" max="6" width="9.375" customWidth="1"/>
    <col min="7" max="7" width="5.875" bestFit="1" customWidth="1"/>
  </cols>
  <sheetData>
    <row r="1" spans="1:16" ht="45" customHeight="1">
      <c r="A1" s="596" t="s">
        <v>77</v>
      </c>
      <c r="B1" s="597"/>
    </row>
    <row r="2" spans="1:16">
      <c r="A2" s="32" t="s">
        <v>83</v>
      </c>
    </row>
    <row r="3" spans="1:16">
      <c r="A3" s="299" t="s">
        <v>601</v>
      </c>
      <c r="B3" s="299"/>
      <c r="C3" s="299"/>
      <c r="D3" s="299"/>
      <c r="E3" s="299"/>
      <c r="F3" s="299"/>
      <c r="G3" s="299"/>
      <c r="H3" s="341">
        <f>'MCS Indata &amp; Resultat'!C21</f>
        <v>100</v>
      </c>
      <c r="I3" s="299"/>
      <c r="J3" s="299"/>
      <c r="K3" s="299"/>
    </row>
    <row r="4" spans="1:16" ht="29.1" customHeight="1">
      <c r="A4" s="299" t="s">
        <v>303</v>
      </c>
      <c r="B4" s="334" t="s">
        <v>78</v>
      </c>
      <c r="C4" s="299" t="s">
        <v>75</v>
      </c>
      <c r="D4" s="334" t="s">
        <v>76</v>
      </c>
      <c r="E4" s="335" t="s">
        <v>600</v>
      </c>
      <c r="F4" s="299"/>
      <c r="G4" s="336"/>
      <c r="H4" s="342" t="s">
        <v>599</v>
      </c>
      <c r="I4" s="299" t="s">
        <v>532</v>
      </c>
      <c r="J4" s="299"/>
      <c r="K4" s="299"/>
      <c r="L4" s="69"/>
      <c r="N4" s="69"/>
      <c r="P4" s="69"/>
    </row>
    <row r="5" spans="1:16">
      <c r="A5" s="299">
        <v>120</v>
      </c>
      <c r="B5" s="337">
        <f t="shared" ref="B5:B10" si="0">((E5-40)/(E$5-40))^3</f>
        <v>1</v>
      </c>
      <c r="C5" s="338">
        <f>B5*50%</f>
        <v>0.5</v>
      </c>
      <c r="D5" s="338">
        <f t="shared" ref="D5:D10" si="1">15%*C5</f>
        <v>7.4999999999999997E-2</v>
      </c>
      <c r="E5" s="339">
        <v>117</v>
      </c>
      <c r="F5" s="299"/>
      <c r="G5" s="299"/>
      <c r="H5" s="299">
        <v>70</v>
      </c>
      <c r="I5" s="340">
        <v>6.0096422383485969E-2</v>
      </c>
      <c r="J5" s="299"/>
      <c r="K5" s="299"/>
      <c r="L5" s="331"/>
      <c r="M5" s="69"/>
      <c r="N5" s="331"/>
    </row>
    <row r="6" spans="1:16">
      <c r="A6" s="299">
        <v>110</v>
      </c>
      <c r="B6" s="337">
        <f t="shared" si="0"/>
        <v>0.75131480090157765</v>
      </c>
      <c r="C6" s="338">
        <f t="shared" ref="C6:C10" si="2">B6*50%</f>
        <v>0.37565740045078883</v>
      </c>
      <c r="D6" s="338">
        <f t="shared" si="1"/>
        <v>5.6348610067618321E-2</v>
      </c>
      <c r="E6" s="339">
        <v>110</v>
      </c>
      <c r="F6" s="299"/>
      <c r="G6" s="299"/>
      <c r="H6" s="343">
        <v>80</v>
      </c>
      <c r="I6" s="340">
        <v>0.1211215837628386</v>
      </c>
      <c r="J6" s="299"/>
      <c r="K6" s="299"/>
      <c r="L6" s="331"/>
      <c r="M6" s="69"/>
      <c r="N6" s="331"/>
    </row>
    <row r="7" spans="1:16">
      <c r="A7" s="299">
        <v>100</v>
      </c>
      <c r="B7" s="337">
        <f t="shared" si="0"/>
        <v>0.56085293943701775</v>
      </c>
      <c r="C7" s="338">
        <f t="shared" si="2"/>
        <v>0.28042646971850888</v>
      </c>
      <c r="D7" s="338">
        <f t="shared" si="1"/>
        <v>4.206397045777633E-2</v>
      </c>
      <c r="E7" s="339">
        <v>103.5</v>
      </c>
      <c r="F7" s="299"/>
      <c r="G7" s="299"/>
      <c r="H7" s="343">
        <v>90</v>
      </c>
      <c r="I7" s="340">
        <v>0.20282542554426516</v>
      </c>
      <c r="J7" s="299"/>
      <c r="K7" s="299"/>
      <c r="L7" s="331"/>
      <c r="M7" s="69"/>
      <c r="N7" s="331"/>
    </row>
    <row r="8" spans="1:16">
      <c r="A8" s="299">
        <v>90</v>
      </c>
      <c r="B8" s="337">
        <f t="shared" si="0"/>
        <v>0.40565085108853033</v>
      </c>
      <c r="C8" s="338">
        <f t="shared" si="2"/>
        <v>0.20282542554426516</v>
      </c>
      <c r="D8" s="338">
        <f t="shared" si="1"/>
        <v>3.0423813831639772E-2</v>
      </c>
      <c r="E8" s="339">
        <v>97</v>
      </c>
      <c r="F8" s="299"/>
      <c r="G8" s="299"/>
      <c r="H8" s="341">
        <v>100</v>
      </c>
      <c r="I8" s="340">
        <v>0.28042646971850888</v>
      </c>
      <c r="J8" s="299"/>
      <c r="K8" s="299"/>
      <c r="L8" s="331"/>
      <c r="M8" s="69"/>
      <c r="N8" s="331"/>
    </row>
    <row r="9" spans="1:16">
      <c r="A9" s="299">
        <v>80</v>
      </c>
      <c r="B9" s="337">
        <f t="shared" si="0"/>
        <v>0.24224316752567721</v>
      </c>
      <c r="C9" s="338">
        <f t="shared" si="2"/>
        <v>0.1211215837628386</v>
      </c>
      <c r="D9" s="338">
        <f t="shared" si="1"/>
        <v>1.8168237564425791E-2</v>
      </c>
      <c r="E9" s="339">
        <v>88</v>
      </c>
      <c r="F9" s="299"/>
      <c r="G9" s="344"/>
      <c r="H9" s="345">
        <v>110</v>
      </c>
      <c r="I9" s="340">
        <v>0.37565740045078883</v>
      </c>
      <c r="J9" s="299"/>
      <c r="K9" s="299"/>
      <c r="L9" s="331"/>
      <c r="M9" s="69"/>
      <c r="N9" s="331"/>
    </row>
    <row r="10" spans="1:16">
      <c r="A10" s="29">
        <v>70</v>
      </c>
      <c r="B10" s="337">
        <f t="shared" si="0"/>
        <v>0.12019284476697194</v>
      </c>
      <c r="C10" s="338">
        <f t="shared" si="2"/>
        <v>6.0096422383485969E-2</v>
      </c>
      <c r="D10" s="338">
        <f t="shared" si="1"/>
        <v>9.0144633575228953E-3</v>
      </c>
      <c r="E10" s="339">
        <v>78</v>
      </c>
      <c r="F10" s="299"/>
      <c r="G10" s="337"/>
      <c r="H10" s="345">
        <v>120</v>
      </c>
      <c r="I10" s="340">
        <v>0.5</v>
      </c>
      <c r="J10" s="299"/>
      <c r="K10" s="299"/>
      <c r="L10" s="331"/>
      <c r="M10" s="69"/>
      <c r="N10" s="331"/>
    </row>
    <row r="11" spans="1:16">
      <c r="A11" s="29"/>
      <c r="B11" s="299"/>
      <c r="C11" s="339"/>
      <c r="D11" s="299"/>
      <c r="E11" s="339"/>
      <c r="F11" s="337"/>
      <c r="G11" s="337"/>
      <c r="H11" s="299"/>
      <c r="I11" s="299"/>
      <c r="J11" s="299"/>
      <c r="K11" s="299"/>
    </row>
    <row r="12" spans="1:16">
      <c r="A12" s="299"/>
      <c r="B12" s="299"/>
      <c r="C12" s="339"/>
      <c r="D12" s="299"/>
      <c r="E12" s="339"/>
      <c r="F12" s="337"/>
      <c r="G12" s="337"/>
      <c r="H12" s="346">
        <f>VLOOKUP(H3,H5:I10,2)</f>
        <v>0.28042646971850888</v>
      </c>
      <c r="I12" s="299"/>
      <c r="J12" s="299"/>
      <c r="K12" s="299"/>
    </row>
    <row r="13" spans="1:16">
      <c r="A13" s="28"/>
      <c r="B13" s="299"/>
      <c r="C13" s="339"/>
      <c r="D13" s="299"/>
      <c r="E13" s="339"/>
      <c r="F13" s="337"/>
      <c r="G13" s="337"/>
      <c r="H13" s="299"/>
      <c r="I13" s="299"/>
      <c r="J13" s="299"/>
      <c r="K13" s="299"/>
    </row>
    <row r="14" spans="1:16">
      <c r="A14" s="150" t="s">
        <v>270</v>
      </c>
      <c r="B14" s="299"/>
      <c r="C14" s="339"/>
      <c r="D14" s="299"/>
      <c r="E14" s="339"/>
      <c r="F14" s="337"/>
      <c r="G14" s="337"/>
      <c r="H14" s="299"/>
      <c r="I14" s="299"/>
      <c r="J14" s="299"/>
      <c r="K14" s="299"/>
    </row>
    <row r="15" spans="1:16" ht="16.5">
      <c r="A15" s="47" t="s">
        <v>363</v>
      </c>
    </row>
    <row r="16" spans="1:16">
      <c r="A16" s="137">
        <f>VALUE(MID('Komplettering MCS_kö'!D2, 4,1))</f>
        <v>6</v>
      </c>
    </row>
    <row r="17" spans="1:4">
      <c r="A17">
        <f>(('Uppgradering MCS_VH'!D3*'Uppgradering MCS_VH'!D4/100*1.2)+(1-'Uppgradering MCS_VH'!D4/100)*'Uppgradering MCS_VH'!D3)</f>
        <v>80264</v>
      </c>
    </row>
    <row r="18" spans="1:4">
      <c r="A18" s="299" t="s">
        <v>484</v>
      </c>
    </row>
    <row r="19" spans="1:4" ht="17.25">
      <c r="A19" s="79" t="s">
        <v>254</v>
      </c>
      <c r="B19">
        <f>IF(B26&gt;1,(3010*B26-2991)*($B$25/3600)*B31,(350*B26^15)/(1+12*B26^7)-8*B26^10+0.00062*($B$25/3600)*B31)</f>
        <v>3888.4211631578974</v>
      </c>
    </row>
    <row r="20" spans="1:4" ht="17.25">
      <c r="A20" s="79" t="s">
        <v>255</v>
      </c>
      <c r="B20">
        <f>IF(B27&gt;1,(3010*B27-2991)*($B$25/3600)*B32,(350*B27^15)/(1+12*B27^7)-8*B27^10+0.00062*($B$25/3600)*B32)</f>
        <v>2086.0320237426899</v>
      </c>
    </row>
    <row r="21" spans="1:4" ht="17.25">
      <c r="A21" s="79" t="s">
        <v>256</v>
      </c>
      <c r="B21">
        <f>IF(B28&gt;1,(3010*B28-2991)*($B$25/3600)*B33,(350*B28^15)/(1+12*B28^7)-8*B28^10+0.00062*($B$25/3600)*B33)</f>
        <v>1232.298274506579</v>
      </c>
    </row>
    <row r="22" spans="1:4" ht="17.25">
      <c r="A22" s="79" t="s">
        <v>257</v>
      </c>
      <c r="B22">
        <f>IF(B29&gt;1,(3010*B29-2991)*($B$25/3600)*B34,(350*B29^15)/(1+12*B29^7)-8*B29^10+0.00062*($B$25/3600)*B34)</f>
        <v>452.39246822612097</v>
      </c>
    </row>
    <row r="23" spans="1:4" ht="17.25">
      <c r="A23" s="79" t="s">
        <v>162</v>
      </c>
      <c r="B23">
        <f>IF(B30&gt;1,(3010*B30-2991)*($B$25/3600)*B35,(350*B30^15)/(1+12*B30^7)-8*B30^10+0.00062*($B$25/3600)*B35)</f>
        <v>104.61574380473664</v>
      </c>
    </row>
    <row r="24" spans="1:4" ht="17.25">
      <c r="A24" s="79" t="s">
        <v>165</v>
      </c>
      <c r="B24" s="248">
        <f>(B19*C31+B20*C32+B21*C33)*'Komplettering MCS_kö'!D14</f>
        <v>10674.560350123114</v>
      </c>
    </row>
    <row r="25" spans="1:4" ht="17.25">
      <c r="A25" s="79" t="s">
        <v>222</v>
      </c>
      <c r="B25">
        <f>A17*C25</f>
        <v>6019.8</v>
      </c>
      <c r="C25">
        <f>IF(A16=4,0.1,IF(A16=6,0.075,0.045))</f>
        <v>7.4999999999999997E-2</v>
      </c>
      <c r="D25" s="299" t="s">
        <v>566</v>
      </c>
    </row>
    <row r="26" spans="1:4" ht="17.25">
      <c r="A26" s="79" t="s">
        <v>258</v>
      </c>
      <c r="B26">
        <f>B25/(IF(A36=A16,B36,IF(A37=A16,B37,B38))*C26)</f>
        <v>1.5087218045112785</v>
      </c>
      <c r="C26">
        <f>IF(A29=4,0.25,IF(A29=6,0.4,0.7))</f>
        <v>0.7</v>
      </c>
    </row>
    <row r="27" spans="1:4" ht="17.25">
      <c r="A27" s="79" t="s">
        <v>259</v>
      </c>
      <c r="B27">
        <f>B25/(IF(A36=A16,B36,IF(A37=A16,B37,B38))*C27)</f>
        <v>1.408140350877193</v>
      </c>
      <c r="C27">
        <f>IF(A29=4,0.4,IF(A29=6,0.6,0.75))</f>
        <v>0.75</v>
      </c>
    </row>
    <row r="28" spans="1:4" ht="17.25">
      <c r="A28" s="79" t="s">
        <v>260</v>
      </c>
      <c r="B28">
        <f>B25/(IF(A36=A16,B36,IF(A37=A16,B37,B38))*C28)</f>
        <v>1.3201315789473684</v>
      </c>
      <c r="C28">
        <f>IF(A29=4,0.65,IF(A29=6,0.75,0.8))</f>
        <v>0.8</v>
      </c>
    </row>
    <row r="29" spans="1:4" ht="17.25">
      <c r="A29" s="79" t="s">
        <v>261</v>
      </c>
      <c r="B29">
        <f>B25/(IF(A36=A16,B36,IF(A37=A16,B37,B38))*C29)</f>
        <v>1.1734502923976609</v>
      </c>
      <c r="C29">
        <f>IF(A29=4,0.75,IF(A29=6,0.9,0.9))</f>
        <v>0.9</v>
      </c>
    </row>
    <row r="30" spans="1:4" ht="17.25">
      <c r="A30" s="79" t="s">
        <v>163</v>
      </c>
      <c r="B30">
        <f>B25/(IF(A36=A16,B36,IF(A37=A16,B37,B38))*C30)</f>
        <v>1.0561052631578947</v>
      </c>
      <c r="C30">
        <f>IF(A29=4,1,IF(A29=6,1,1))</f>
        <v>1</v>
      </c>
    </row>
    <row r="31" spans="1:4" ht="17.25">
      <c r="A31" s="79" t="s">
        <v>158</v>
      </c>
      <c r="B31">
        <v>1.5</v>
      </c>
      <c r="C31" s="24">
        <f>G63</f>
        <v>1.1284916201117318E-2</v>
      </c>
    </row>
    <row r="32" spans="1:4" ht="17.25">
      <c r="A32" s="79" t="s">
        <v>159</v>
      </c>
      <c r="B32">
        <v>1</v>
      </c>
      <c r="C32" s="24">
        <f>G65*1/3+G75</f>
        <v>8.9944134078212279E-2</v>
      </c>
    </row>
    <row r="33" spans="1:4" ht="17.25">
      <c r="A33" s="79" t="s">
        <v>160</v>
      </c>
      <c r="B33">
        <v>0.75</v>
      </c>
      <c r="C33" s="24">
        <f>G67+G73+G77+G65*2/3</f>
        <v>0.17206703910614524</v>
      </c>
    </row>
    <row r="34" spans="1:4" ht="17.25">
      <c r="A34" s="79" t="s">
        <v>161</v>
      </c>
      <c r="B34">
        <v>0.5</v>
      </c>
      <c r="C34" s="24">
        <f>G70+G71+G72+G76+G80</f>
        <v>0.29860335195530729</v>
      </c>
    </row>
    <row r="35" spans="1:4" ht="17.25">
      <c r="A35" s="79" t="s">
        <v>164</v>
      </c>
      <c r="B35">
        <v>0.33300000000000002</v>
      </c>
      <c r="C35" s="24">
        <f>G66+G68+G69+G74+G78+G79</f>
        <v>0.42810055865921787</v>
      </c>
    </row>
    <row r="36" spans="1:4" ht="17.25">
      <c r="A36" s="79">
        <v>4</v>
      </c>
      <c r="B36">
        <v>3900</v>
      </c>
    </row>
    <row r="37" spans="1:4" ht="17.25">
      <c r="A37" s="79">
        <v>6</v>
      </c>
      <c r="B37">
        <v>5700</v>
      </c>
    </row>
    <row r="38" spans="1:4" ht="17.25">
      <c r="A38" s="79">
        <v>8</v>
      </c>
      <c r="B38">
        <v>7400</v>
      </c>
    </row>
    <row r="39" spans="1:4">
      <c r="A39" s="71" t="s">
        <v>270</v>
      </c>
      <c r="B39" s="99" t="s">
        <v>273</v>
      </c>
      <c r="C39" s="99"/>
    </row>
    <row r="40" spans="1:4">
      <c r="A40" t="s">
        <v>271</v>
      </c>
      <c r="B40" s="22">
        <f>B41*E84/12</f>
        <v>24.066477971598577</v>
      </c>
      <c r="C40" t="s">
        <v>272</v>
      </c>
    </row>
    <row r="41" spans="1:4">
      <c r="A41" t="s">
        <v>623</v>
      </c>
      <c r="B41" s="22">
        <f>'Komplettering MCS_kö'!B6</f>
        <v>331.04886800000003</v>
      </c>
      <c r="C41" t="s">
        <v>293</v>
      </c>
    </row>
    <row r="44" spans="1:4" ht="16.5" thickBot="1">
      <c r="A44" s="69" t="s">
        <v>635</v>
      </c>
    </row>
    <row r="45" spans="1:4" ht="17.25">
      <c r="A45" s="612" t="s">
        <v>335</v>
      </c>
      <c r="B45" s="612" t="s">
        <v>336</v>
      </c>
      <c r="C45" s="614" t="s">
        <v>337</v>
      </c>
      <c r="D45" s="615"/>
    </row>
    <row r="46" spans="1:4" ht="18" thickBot="1">
      <c r="A46" s="613"/>
      <c r="B46" s="613"/>
      <c r="C46" s="235" t="s">
        <v>338</v>
      </c>
      <c r="D46" s="235" t="s">
        <v>339</v>
      </c>
    </row>
    <row r="47" spans="1:4" ht="33">
      <c r="A47" s="606" t="s">
        <v>340</v>
      </c>
      <c r="B47" s="237" t="s">
        <v>341</v>
      </c>
      <c r="C47" s="609">
        <v>1</v>
      </c>
      <c r="D47" s="609">
        <v>0.5</v>
      </c>
    </row>
    <row r="48" spans="1:4" ht="17.25" thickBot="1">
      <c r="A48" s="608"/>
      <c r="B48" s="238" t="s">
        <v>342</v>
      </c>
      <c r="C48" s="611"/>
      <c r="D48" s="611"/>
    </row>
    <row r="49" spans="1:7" ht="16.5">
      <c r="A49" s="236" t="s">
        <v>343</v>
      </c>
      <c r="B49" s="237" t="s">
        <v>345</v>
      </c>
      <c r="C49" s="609"/>
      <c r="D49" s="609">
        <v>1</v>
      </c>
    </row>
    <row r="50" spans="1:7" ht="33.75" thickBot="1">
      <c r="A50" s="239" t="s">
        <v>344</v>
      </c>
      <c r="B50" s="238" t="s">
        <v>346</v>
      </c>
      <c r="C50" s="611"/>
      <c r="D50" s="611"/>
    </row>
    <row r="51" spans="1:7" ht="16.5">
      <c r="A51" s="236" t="s">
        <v>347</v>
      </c>
      <c r="B51" s="606" t="s">
        <v>349</v>
      </c>
      <c r="C51" s="609">
        <v>3</v>
      </c>
      <c r="D51" s="609"/>
    </row>
    <row r="52" spans="1:7" ht="33.75" thickBot="1">
      <c r="A52" s="239" t="s">
        <v>348</v>
      </c>
      <c r="B52" s="608"/>
      <c r="C52" s="611"/>
      <c r="D52" s="611"/>
    </row>
    <row r="53" spans="1:7" ht="16.5">
      <c r="A53" s="236" t="s">
        <v>350</v>
      </c>
      <c r="B53" s="606" t="s">
        <v>352</v>
      </c>
      <c r="C53" s="609">
        <v>15</v>
      </c>
      <c r="D53" s="609">
        <v>15</v>
      </c>
    </row>
    <row r="54" spans="1:7" ht="66.75" thickBot="1">
      <c r="A54" s="239" t="s">
        <v>351</v>
      </c>
      <c r="B54" s="608"/>
      <c r="C54" s="611"/>
      <c r="D54" s="611"/>
    </row>
    <row r="55" spans="1:7" ht="16.5">
      <c r="A55" s="236" t="s">
        <v>353</v>
      </c>
      <c r="B55" s="606" t="s">
        <v>355</v>
      </c>
      <c r="C55" s="609">
        <v>15</v>
      </c>
      <c r="D55" s="609">
        <v>20</v>
      </c>
    </row>
    <row r="56" spans="1:7" ht="50.25" thickBot="1">
      <c r="A56" s="239" t="s">
        <v>354</v>
      </c>
      <c r="B56" s="608"/>
      <c r="C56" s="611"/>
      <c r="D56" s="611"/>
    </row>
    <row r="57" spans="1:7" ht="16.5">
      <c r="A57" s="236" t="s">
        <v>262</v>
      </c>
      <c r="B57" s="606" t="s">
        <v>265</v>
      </c>
      <c r="C57" s="609">
        <v>30</v>
      </c>
      <c r="D57" s="609">
        <v>6</v>
      </c>
    </row>
    <row r="58" spans="1:7" ht="33">
      <c r="A58" s="236" t="s">
        <v>263</v>
      </c>
      <c r="B58" s="607"/>
      <c r="C58" s="610"/>
      <c r="D58" s="610"/>
    </row>
    <row r="59" spans="1:7" ht="66.75" thickBot="1">
      <c r="A59" s="239" t="s">
        <v>264</v>
      </c>
      <c r="B59" s="608"/>
      <c r="C59" s="611"/>
      <c r="D59" s="611"/>
    </row>
    <row r="61" spans="1:7" ht="16.5" thickBot="1">
      <c r="A61" s="69" t="s">
        <v>462</v>
      </c>
    </row>
    <row r="62" spans="1:7" ht="39" thickBot="1">
      <c r="A62" s="276" t="s">
        <v>335</v>
      </c>
      <c r="B62" s="277" t="s">
        <v>266</v>
      </c>
      <c r="C62" s="271" t="s">
        <v>454</v>
      </c>
      <c r="D62" s="272" t="s">
        <v>275</v>
      </c>
      <c r="E62" s="273" t="s">
        <v>455</v>
      </c>
      <c r="F62" s="274" t="s">
        <v>456</v>
      </c>
      <c r="G62" s="275" t="s">
        <v>457</v>
      </c>
    </row>
    <row r="63" spans="1:7" ht="17.100000000000001" customHeight="1" thickBot="1">
      <c r="A63" s="240" t="s">
        <v>276</v>
      </c>
      <c r="B63" s="241">
        <v>0.02</v>
      </c>
      <c r="C63" s="278">
        <v>623</v>
      </c>
      <c r="D63" s="242">
        <v>0.95</v>
      </c>
      <c r="E63" s="279">
        <v>2020</v>
      </c>
      <c r="F63" t="s">
        <v>371</v>
      </c>
      <c r="G63" s="24">
        <f>E63/$E$81</f>
        <v>1.1284916201117318E-2</v>
      </c>
    </row>
    <row r="64" spans="1:7" ht="26.25" thickBot="1">
      <c r="A64" s="240" t="s">
        <v>277</v>
      </c>
      <c r="B64" s="243"/>
      <c r="C64" s="278">
        <v>1300</v>
      </c>
      <c r="D64" s="244"/>
      <c r="E64" s="280"/>
      <c r="F64" t="s">
        <v>371</v>
      </c>
      <c r="G64" s="24">
        <f t="shared" ref="G64:G81" si="3">E64/$E$81</f>
        <v>0</v>
      </c>
    </row>
    <row r="65" spans="1:7" ht="16.5" thickBot="1">
      <c r="A65" s="240" t="s">
        <v>278</v>
      </c>
      <c r="B65" s="241">
        <v>0.03</v>
      </c>
      <c r="C65" s="278">
        <v>7562</v>
      </c>
      <c r="D65" s="242">
        <v>0.2</v>
      </c>
      <c r="E65" s="279">
        <v>37800</v>
      </c>
      <c r="F65" t="s">
        <v>376</v>
      </c>
      <c r="G65" s="24">
        <f>E65/$E$81</f>
        <v>0.2111731843575419</v>
      </c>
    </row>
    <row r="66" spans="1:7" ht="26.25" thickBot="1">
      <c r="A66" s="240" t="s">
        <v>279</v>
      </c>
      <c r="B66" s="241">
        <v>0.39</v>
      </c>
      <c r="C66" s="278">
        <v>1821</v>
      </c>
      <c r="D66" s="242">
        <v>0.05</v>
      </c>
      <c r="E66" s="279">
        <v>36400</v>
      </c>
      <c r="F66" t="s">
        <v>374</v>
      </c>
      <c r="G66" s="24">
        <f t="shared" si="3"/>
        <v>0.20335195530726258</v>
      </c>
    </row>
    <row r="67" spans="1:7" ht="16.5" thickBot="1">
      <c r="A67" s="240" t="s">
        <v>280</v>
      </c>
      <c r="B67" s="241">
        <v>0.01</v>
      </c>
      <c r="C67" s="278">
        <v>817</v>
      </c>
      <c r="D67" s="242">
        <v>0.2</v>
      </c>
      <c r="E67" s="279">
        <v>4090</v>
      </c>
      <c r="F67" t="s">
        <v>373</v>
      </c>
      <c r="G67" s="24">
        <f t="shared" si="3"/>
        <v>2.2849162011173183E-2</v>
      </c>
    </row>
    <row r="68" spans="1:7" ht="16.5" thickBot="1">
      <c r="A68" s="240" t="s">
        <v>281</v>
      </c>
      <c r="B68" s="241">
        <v>0.03</v>
      </c>
      <c r="C68" s="278">
        <v>10762</v>
      </c>
      <c r="D68" s="242">
        <v>0.6</v>
      </c>
      <c r="E68" s="279">
        <v>17900</v>
      </c>
      <c r="F68" t="s">
        <v>374</v>
      </c>
      <c r="G68" s="24">
        <f t="shared" si="3"/>
        <v>0.1</v>
      </c>
    </row>
    <row r="69" spans="1:7" ht="16.5" thickBot="1">
      <c r="A69" s="240" t="s">
        <v>282</v>
      </c>
      <c r="B69" s="241">
        <v>0.01</v>
      </c>
      <c r="C69" s="278">
        <v>7469</v>
      </c>
      <c r="D69" s="242">
        <v>0.5</v>
      </c>
      <c r="E69" s="279">
        <v>14900</v>
      </c>
      <c r="F69" t="s">
        <v>374</v>
      </c>
      <c r="G69" s="24">
        <f t="shared" si="3"/>
        <v>8.3240223463687146E-2</v>
      </c>
    </row>
    <row r="70" spans="1:7" ht="16.5" thickBot="1">
      <c r="A70" s="240" t="s">
        <v>283</v>
      </c>
      <c r="B70" s="241">
        <v>0.34</v>
      </c>
      <c r="C70" s="278">
        <v>11068</v>
      </c>
      <c r="D70" s="242">
        <v>0.4</v>
      </c>
      <c r="E70" s="279">
        <v>27700</v>
      </c>
      <c r="F70" t="s">
        <v>375</v>
      </c>
      <c r="G70" s="24">
        <f t="shared" si="3"/>
        <v>0.15474860335195531</v>
      </c>
    </row>
    <row r="71" spans="1:7" ht="26.25" thickBot="1">
      <c r="A71" s="240" t="s">
        <v>284</v>
      </c>
      <c r="B71" s="241">
        <v>0.01</v>
      </c>
      <c r="C71" s="278">
        <v>3244</v>
      </c>
      <c r="D71" s="242">
        <v>0.9</v>
      </c>
      <c r="E71" s="279">
        <v>3600</v>
      </c>
      <c r="F71" t="s">
        <v>375</v>
      </c>
      <c r="G71" s="24">
        <f t="shared" si="3"/>
        <v>2.0111731843575419E-2</v>
      </c>
    </row>
    <row r="72" spans="1:7" ht="16.5" thickBot="1">
      <c r="A72" s="240" t="s">
        <v>285</v>
      </c>
      <c r="B72" s="241">
        <v>0.04</v>
      </c>
      <c r="C72" s="278">
        <v>2400</v>
      </c>
      <c r="D72" s="242">
        <v>0.75</v>
      </c>
      <c r="E72" s="279">
        <v>3200</v>
      </c>
      <c r="F72" t="s">
        <v>375</v>
      </c>
      <c r="G72" s="24">
        <f t="shared" si="3"/>
        <v>1.7877094972067038E-2</v>
      </c>
    </row>
    <row r="73" spans="1:7" ht="16.5" thickBot="1">
      <c r="A73" s="240" t="s">
        <v>286</v>
      </c>
      <c r="B73" s="241">
        <v>0</v>
      </c>
      <c r="C73" s="278">
        <v>543</v>
      </c>
      <c r="D73" s="242">
        <v>0.4</v>
      </c>
      <c r="E73" s="279">
        <v>1360</v>
      </c>
      <c r="F73" t="s">
        <v>373</v>
      </c>
      <c r="G73" s="24">
        <f t="shared" si="3"/>
        <v>7.5977653631284919E-3</v>
      </c>
    </row>
    <row r="74" spans="1:7" ht="16.5" thickBot="1">
      <c r="A74" s="240" t="s">
        <v>287</v>
      </c>
      <c r="B74" s="241">
        <v>0.05</v>
      </c>
      <c r="C74" s="278">
        <v>512</v>
      </c>
      <c r="D74" s="242">
        <v>0.4</v>
      </c>
      <c r="E74" s="279">
        <v>1280</v>
      </c>
      <c r="F74" t="s">
        <v>374</v>
      </c>
      <c r="G74" s="24">
        <f t="shared" si="3"/>
        <v>7.1508379888268157E-3</v>
      </c>
    </row>
    <row r="75" spans="1:7" ht="16.5" thickBot="1">
      <c r="A75" s="240" t="s">
        <v>288</v>
      </c>
      <c r="B75" s="241">
        <v>0.01</v>
      </c>
      <c r="C75" s="278">
        <v>1576</v>
      </c>
      <c r="D75" s="242">
        <v>0.45</v>
      </c>
      <c r="E75" s="279">
        <v>3500</v>
      </c>
      <c r="F75" t="s">
        <v>372</v>
      </c>
      <c r="G75" s="24">
        <f t="shared" si="3"/>
        <v>1.9553072625698324E-2</v>
      </c>
    </row>
    <row r="76" spans="1:7" ht="16.5" thickBot="1">
      <c r="A76" s="240" t="s">
        <v>289</v>
      </c>
      <c r="B76" s="241">
        <v>0.01</v>
      </c>
      <c r="C76" s="278">
        <v>139</v>
      </c>
      <c r="D76" s="242">
        <v>0.9</v>
      </c>
      <c r="E76" s="279">
        <v>150</v>
      </c>
      <c r="F76" t="s">
        <v>375</v>
      </c>
      <c r="G76" s="24">
        <f t="shared" si="3"/>
        <v>8.3798882681564244E-4</v>
      </c>
    </row>
    <row r="77" spans="1:7" ht="16.5" thickBot="1">
      <c r="A77" s="240" t="s">
        <v>366</v>
      </c>
      <c r="B77" s="241">
        <v>0</v>
      </c>
      <c r="C77" s="278">
        <v>73</v>
      </c>
      <c r="D77" s="242">
        <v>0.5</v>
      </c>
      <c r="E77" s="279">
        <v>150</v>
      </c>
      <c r="F77" t="s">
        <v>373</v>
      </c>
      <c r="G77" s="24">
        <f t="shared" si="3"/>
        <v>8.3798882681564244E-4</v>
      </c>
    </row>
    <row r="78" spans="1:7" ht="26.25" thickBot="1">
      <c r="A78" s="240" t="s">
        <v>367</v>
      </c>
      <c r="B78" s="241">
        <v>0</v>
      </c>
      <c r="C78" s="278">
        <v>500</v>
      </c>
      <c r="D78" s="242">
        <v>0.1</v>
      </c>
      <c r="E78" s="279">
        <v>5000</v>
      </c>
      <c r="F78" t="s">
        <v>374</v>
      </c>
      <c r="G78" s="24">
        <f t="shared" si="3"/>
        <v>2.7932960893854747E-2</v>
      </c>
    </row>
    <row r="79" spans="1:7" ht="16.5" thickBot="1">
      <c r="A79" s="240" t="s">
        <v>368</v>
      </c>
      <c r="B79" s="241">
        <v>0.02</v>
      </c>
      <c r="C79" s="278">
        <v>232</v>
      </c>
      <c r="D79" s="242">
        <v>0.2</v>
      </c>
      <c r="E79" s="279">
        <v>1150</v>
      </c>
      <c r="F79" t="s">
        <v>374</v>
      </c>
      <c r="G79" s="24">
        <f t="shared" si="3"/>
        <v>6.4245810055865923E-3</v>
      </c>
    </row>
    <row r="80" spans="1:7" ht="16.5" thickBot="1">
      <c r="A80" s="281" t="s">
        <v>369</v>
      </c>
      <c r="B80" s="282">
        <v>0.04</v>
      </c>
      <c r="C80" s="283">
        <v>1876</v>
      </c>
      <c r="D80" s="284">
        <v>0.1</v>
      </c>
      <c r="E80" s="285">
        <v>18800</v>
      </c>
      <c r="F80" t="s">
        <v>375</v>
      </c>
      <c r="G80" s="24">
        <f t="shared" si="3"/>
        <v>0.10502793296089385</v>
      </c>
    </row>
    <row r="81" spans="1:7" ht="23.1" customHeight="1" thickBot="1">
      <c r="A81" s="286" t="s">
        <v>370</v>
      </c>
      <c r="B81" s="287"/>
      <c r="C81" s="288">
        <v>52517</v>
      </c>
      <c r="D81" s="289"/>
      <c r="E81" s="288">
        <v>179000</v>
      </c>
      <c r="F81" s="274"/>
      <c r="G81" s="290">
        <f t="shared" si="3"/>
        <v>1</v>
      </c>
    </row>
    <row r="82" spans="1:7">
      <c r="A82" s="292" t="s">
        <v>267</v>
      </c>
      <c r="B82" t="s">
        <v>268</v>
      </c>
      <c r="E82">
        <f>E63+E65+E67+E73+E77+E75</f>
        <v>48920</v>
      </c>
    </row>
    <row r="83" spans="1:7">
      <c r="A83" s="292" t="s">
        <v>625</v>
      </c>
      <c r="B83" t="s">
        <v>269</v>
      </c>
      <c r="E83">
        <v>56077</v>
      </c>
    </row>
    <row r="84" spans="1:7">
      <c r="A84" s="292" t="s">
        <v>624</v>
      </c>
      <c r="E84" s="293">
        <f>E82/E83</f>
        <v>0.87237191718529883</v>
      </c>
    </row>
  </sheetData>
  <mergeCells count="21">
    <mergeCell ref="A1:B1"/>
    <mergeCell ref="A45:A46"/>
    <mergeCell ref="B45:B46"/>
    <mergeCell ref="C45:D45"/>
    <mergeCell ref="A47:A48"/>
    <mergeCell ref="C47:C48"/>
    <mergeCell ref="D47:D48"/>
    <mergeCell ref="C49:C50"/>
    <mergeCell ref="D49:D50"/>
    <mergeCell ref="B51:B52"/>
    <mergeCell ref="C51:C52"/>
    <mergeCell ref="D51:D52"/>
    <mergeCell ref="B57:B59"/>
    <mergeCell ref="C57:C59"/>
    <mergeCell ref="D57:D59"/>
    <mergeCell ref="B53:B54"/>
    <mergeCell ref="C53:C54"/>
    <mergeCell ref="D53:D54"/>
    <mergeCell ref="B55:B56"/>
    <mergeCell ref="C55:C56"/>
    <mergeCell ref="D55:D56"/>
  </mergeCells>
  <phoneticPr fontId="6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b4061a7-86b8-4d81-a1da-241842f9e9ae" ContentTypeId="0x0101000667F93D1C315D418A1660759F7B9F03" PreviousValue="false"/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dokument_NY" ma:contentTypeID="0x0101000667F93D1C315D418A1660759F7B9F0300846AB29C0B9E034B8477549C12B72566" ma:contentTypeVersion="1" ma:contentTypeDescription="" ma:contentTypeScope="" ma:versionID="7868c0023f529a924bab335110aeefe6">
  <xsd:schema xmlns:xsd="http://www.w3.org/2001/XMLSchema" xmlns:xs="http://www.w3.org/2001/XMLSchema" xmlns:p="http://schemas.microsoft.com/office/2006/metadata/properties" xmlns:ns2="46b3c23b-5501-4bd0-8fef-8fe7f3b10f57" xmlns:ns3="http://schemas.microsoft.com/sharepoint/v4/fields" targetNamespace="http://schemas.microsoft.com/office/2006/metadata/properties" ma:root="true" ma:fieldsID="805a12635887be87740ddda1751910bc" ns2:_="" ns3:_="">
    <xsd:import namespace="46b3c23b-5501-4bd0-8fef-8fe7f3b10f57"/>
    <xsd:import namespace="http://schemas.microsoft.com/sharepoint/v4/fields"/>
    <xsd:element name="properties">
      <xsd:complexType>
        <xsd:sequence>
          <xsd:element name="documentManagement">
            <xsd:complexType>
              <xsd:all>
                <xsd:element ref="ns2:Skapat_x0020_av_x0020_NY"/>
                <xsd:element ref="ns2:Dokumenttitel_x0020_NY"/>
                <xsd:element ref="ns2:Dokumentdatum_x0020_NY"/>
                <xsd:element ref="ns3:TRVversionN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3c23b-5501-4bd0-8fef-8fe7f3b10f57" elementFormDefault="qualified">
    <xsd:import namespace="http://schemas.microsoft.com/office/2006/documentManagement/types"/>
    <xsd:import namespace="http://schemas.microsoft.com/office/infopath/2007/PartnerControls"/>
    <xsd:element name="Skapat_x0020_av_x0020_NY" ma:index="1" ma:displayName="Skapat av NY" ma:description="Efternamn Namn, org" ma:internalName="Skapat_x0020_av_x0020_NY" ma:readOnly="false">
      <xsd:simpleType>
        <xsd:restriction base="dms:Text">
          <xsd:maxLength value="255"/>
        </xsd:restriction>
      </xsd:simpleType>
    </xsd:element>
    <xsd:element name="Dokumenttitel_x0020_NY" ma:index="2" ma:displayName="Dokumenttitel NY" ma:description="Skriv en kortfattad rubrik med det viktigaste nyckelordet först" ma:internalName="Dokumenttitel_x0020_NY" ma:readOnly="false">
      <xsd:simpleType>
        <xsd:restriction base="dms:Text">
          <xsd:maxLength value="255"/>
        </xsd:restriction>
      </xsd:simpleType>
    </xsd:element>
    <xsd:element name="Dokumentdatum_x0020_NY" ma:index="3" ma:displayName="Dokumentdatum NY" ma:description="Datum när dokumentet är fastställt" ma:format="DateOnly" ma:internalName="Dokumentdatum_x0020_NY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/fields" elementFormDefault="qualified">
    <xsd:import namespace="http://schemas.microsoft.com/office/2006/documentManagement/types"/>
    <xsd:import namespace="http://schemas.microsoft.com/office/infopath/2007/PartnerControls"/>
    <xsd:element name="TRVversionNY" ma:index="4" nillable="true" ma:displayName="TRVversionNY" ma:internalName="TRVversionNY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titel_x0020_NY xmlns="46b3c23b-5501-4bd0-8fef-8fe7f3b10f57">MESS 20200408</Dokumenttitel_x0020_NY>
    <TRVversionNY xmlns="http://schemas.microsoft.com/sharepoint/v4/fields" xsi:nil="true"/>
    <Dokumentdatum_x0020_NY xmlns="46b3c23b-5501-4bd0-8fef-8fe7f3b10f57">2020-04-14T22:00:00+00:00</Dokumentdatum_x0020_NY>
    <Skapat_x0020_av_x0020_NY xmlns="46b3c23b-5501-4bd0-8fef-8fe7f3b10f57">Grudemo Stefan, PLee</Skapat_x0020_av_x0020_NY>
  </documentManagement>
</p:properties>
</file>

<file path=customXml/itemProps1.xml><?xml version="1.0" encoding="utf-8"?>
<ds:datastoreItem xmlns:ds="http://schemas.openxmlformats.org/officeDocument/2006/customXml" ds:itemID="{4C25241D-E34D-4916-9A9A-9D47C6F7AC68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449F63A5-35B2-4686-B537-54E8D7B78B73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804F87DC-B6E0-406C-BCC9-0E0D0BD534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b3c23b-5501-4bd0-8fef-8fe7f3b10f57"/>
    <ds:schemaRef ds:uri="http://schemas.microsoft.com/sharepoint/v4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E698602-27B5-4835-8E4F-7D286F9AC11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A5A97F5-A899-4983-AF69-9E67CA211D0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4/fields"/>
    <ds:schemaRef ds:uri="46b3c23b-5501-4bd0-8fef-8fe7f3b10f5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19</vt:i4>
      </vt:variant>
      <vt:variant>
        <vt:lpstr>Namngivna områden</vt:lpstr>
      </vt:variant>
      <vt:variant>
        <vt:i4>2</vt:i4>
      </vt:variant>
    </vt:vector>
  </HeadingPairs>
  <TitlesOfParts>
    <vt:vector size="21" baseType="lpstr">
      <vt:lpstr>Att göra</vt:lpstr>
      <vt:lpstr>Test</vt:lpstr>
      <vt:lpstr>MCS Indata &amp; Resultat</vt:lpstr>
      <vt:lpstr>MCS Delresultat</vt:lpstr>
      <vt:lpstr>Samhällsekonomisk kalkyl</vt:lpstr>
      <vt:lpstr>Komplettering MCS_kö</vt:lpstr>
      <vt:lpstr>Uppgradering MCS_VH</vt:lpstr>
      <vt:lpstr>Normalvärden</vt:lpstr>
      <vt:lpstr>Sekundärolyckor</vt:lpstr>
      <vt:lpstr>Tät trafik</vt:lpstr>
      <vt:lpstr>Miljö</vt:lpstr>
      <vt:lpstr>Investering &amp; drift </vt:lpstr>
      <vt:lpstr>ASEK 7.1</vt:lpstr>
      <vt:lpstr>Instruktion</vt:lpstr>
      <vt:lpstr>Indexomräkning kostnad</vt:lpstr>
      <vt:lpstr>Kapitaliserad inv kost</vt:lpstr>
      <vt:lpstr>Blad1</vt:lpstr>
      <vt:lpstr>Index</vt:lpstr>
      <vt:lpstr>Metodik</vt:lpstr>
      <vt:lpstr>Typ</vt:lpstr>
      <vt:lpstr>'Indexomräkning kostnad'!Utskriftsområde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</dc:creator>
  <cp:lastModifiedBy>Grudemo Stefan, PLee</cp:lastModifiedBy>
  <cp:lastPrinted>2017-02-23T09:12:49Z</cp:lastPrinted>
  <dcterms:created xsi:type="dcterms:W3CDTF">2016-08-24T07:40:11Z</dcterms:created>
  <dcterms:modified xsi:type="dcterms:W3CDTF">2023-03-10T15:44:51Z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0x0101000667F93D1C315D418A1660759F7B9F0300846AB29C0B9E034B8477549C12B72566</vt:lpwstr>
  </property>
</Properties>
</file>