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rafikverket.local\Arbetsrum\SamhällsekModellStatistik\1.Samhällsekonomi\1.1.Personmappar\Emma L\Diskonteringsverktyget\Version 2026.1\"/>
    </mc:Choice>
  </mc:AlternateContent>
  <xr:revisionPtr revIDLastSave="0" documentId="13_ncr:1_{7CAEDA5A-EBF6-439D-8851-CDEF5DA6DC9C}" xr6:coauthVersionLast="47" xr6:coauthVersionMax="47" xr10:uidLastSave="{00000000-0000-0000-0000-000000000000}"/>
  <bookViews>
    <workbookView xWindow="28680" yWindow="-120" windowWidth="29040" windowHeight="15720" tabRatio="922" xr2:uid="{00000000-000D-0000-FFFF-FFFF00000000}"/>
  </bookViews>
  <sheets>
    <sheet name="Diskonteringsverktyg" sheetId="16" r:id="rId1"/>
    <sheet name="Beräkningar" sheetId="18" r:id="rId2"/>
    <sheet name="Indexomräkning kostnad" sheetId="19" r:id="rId3"/>
    <sheet name="Nuvärde inv kost" sheetId="20" r:id="rId4"/>
    <sheet name="Index och uppräkningsfaktorer" sheetId="2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0" i="16" l="1"/>
  <c r="F11" i="19"/>
  <c r="M6" i="18" l="1"/>
  <c r="E33" i="19" l="1"/>
  <c r="F19" i="19"/>
  <c r="F20" i="19"/>
  <c r="F24" i="19"/>
  <c r="F10" i="19"/>
  <c r="F33" i="19" s="1"/>
  <c r="F12" i="19"/>
  <c r="F13" i="19" s="1"/>
  <c r="L4" i="21"/>
  <c r="K4" i="21"/>
  <c r="D12" i="20"/>
  <c r="C15" i="20"/>
  <c r="C16" i="20" s="1"/>
  <c r="C17" i="20" s="1"/>
  <c r="C18" i="20" s="1"/>
  <c r="C19" i="20" s="1"/>
  <c r="C20" i="20" s="1"/>
  <c r="C21" i="20" s="1"/>
  <c r="C22" i="20" s="1"/>
  <c r="C23" i="20" s="1"/>
  <c r="C24" i="20" s="1"/>
  <c r="F14" i="19" l="1"/>
  <c r="F26" i="19"/>
  <c r="F27" i="19" s="1"/>
  <c r="F15" i="19" l="1"/>
  <c r="F18" i="19" s="1"/>
  <c r="F21" i="19" s="1"/>
  <c r="F34" i="19" l="1"/>
  <c r="F28" i="19"/>
  <c r="F29" i="19" s="1"/>
  <c r="F25" i="19"/>
  <c r="D24" i="20" l="1"/>
  <c r="E24" i="20" s="1"/>
  <c r="F24" i="20" s="1"/>
  <c r="O15" i="18" s="1"/>
  <c r="D22" i="20"/>
  <c r="E22" i="20" s="1"/>
  <c r="F22" i="20" s="1"/>
  <c r="O13" i="18" s="1"/>
  <c r="D21" i="20"/>
  <c r="E21" i="20" s="1"/>
  <c r="F21" i="20" s="1"/>
  <c r="O12" i="18" s="1"/>
  <c r="D20" i="20"/>
  <c r="E20" i="20" s="1"/>
  <c r="F20" i="20" s="1"/>
  <c r="O11" i="18" s="1"/>
  <c r="D23" i="20"/>
  <c r="E23" i="20" s="1"/>
  <c r="F23" i="20" s="1"/>
  <c r="O14" i="18" s="1"/>
  <c r="D16" i="20"/>
  <c r="E16" i="20" s="1"/>
  <c r="F16" i="20" s="1"/>
  <c r="O7" i="18" s="1"/>
  <c r="D19" i="20" l="1"/>
  <c r="E19" i="20" s="1"/>
  <c r="F19" i="20" s="1"/>
  <c r="O10" i="18" s="1"/>
  <c r="D15" i="20"/>
  <c r="E15" i="20" s="1"/>
  <c r="F15" i="20" s="1"/>
  <c r="O6" i="18" s="1"/>
  <c r="D18" i="20"/>
  <c r="E18" i="20" s="1"/>
  <c r="F18" i="20" s="1"/>
  <c r="O9" i="18" s="1"/>
  <c r="D17" i="20"/>
  <c r="E17" i="20" s="1"/>
  <c r="F17" i="20" s="1"/>
  <c r="O8" i="18" s="1"/>
  <c r="F25" i="20" l="1"/>
  <c r="D25" i="20"/>
  <c r="E25" i="20"/>
  <c r="F35" i="19" l="1"/>
  <c r="J7" i="18"/>
  <c r="J8" i="18"/>
  <c r="J9" i="18"/>
  <c r="J10" i="18"/>
  <c r="J11" i="18"/>
  <c r="J12" i="18"/>
  <c r="J13" i="18"/>
  <c r="J14" i="18"/>
  <c r="J15" i="18"/>
  <c r="J16" i="18"/>
  <c r="J17" i="18"/>
  <c r="J18" i="18"/>
  <c r="J19" i="18"/>
  <c r="J20" i="18"/>
  <c r="J21" i="18"/>
  <c r="J22" i="18"/>
  <c r="J23" i="18"/>
  <c r="J24" i="18"/>
  <c r="J25" i="18"/>
  <c r="J26" i="18"/>
  <c r="J27" i="18"/>
  <c r="J28" i="18"/>
  <c r="J29" i="18"/>
  <c r="J30" i="18"/>
  <c r="J31" i="18"/>
  <c r="J32" i="18"/>
  <c r="J33" i="18"/>
  <c r="J34" i="18"/>
  <c r="J35" i="18"/>
  <c r="J36" i="18"/>
  <c r="J37" i="18"/>
  <c r="J38" i="18"/>
  <c r="J39" i="18"/>
  <c r="J40" i="18"/>
  <c r="J41" i="18"/>
  <c r="J42" i="18"/>
  <c r="J43" i="18"/>
  <c r="J44" i="18"/>
  <c r="J45" i="18"/>
  <c r="J46" i="18"/>
  <c r="J47" i="18"/>
  <c r="J48" i="18"/>
  <c r="J49" i="18"/>
  <c r="J50" i="18"/>
  <c r="J51" i="18"/>
  <c r="J52" i="18"/>
  <c r="J53" i="18"/>
  <c r="J54" i="18"/>
  <c r="J55" i="18"/>
  <c r="J56" i="18"/>
  <c r="J57" i="18"/>
  <c r="J58" i="18"/>
  <c r="J59" i="18"/>
  <c r="J60" i="18"/>
  <c r="J61" i="18"/>
  <c r="J62" i="18"/>
  <c r="J63" i="18"/>
  <c r="J64" i="18"/>
  <c r="J65" i="18"/>
  <c r="J66" i="18"/>
  <c r="J67" i="18"/>
  <c r="J68" i="18"/>
  <c r="J69" i="18"/>
  <c r="J70" i="18"/>
  <c r="J71" i="18"/>
  <c r="J72" i="18"/>
  <c r="J73" i="18"/>
  <c r="J74" i="18"/>
  <c r="J75" i="18"/>
  <c r="J76" i="18"/>
  <c r="J77" i="18"/>
  <c r="J78" i="18"/>
  <c r="J79" i="18"/>
  <c r="J80" i="18"/>
  <c r="J81" i="18"/>
  <c r="J82" i="18"/>
  <c r="J83" i="18"/>
  <c r="J84" i="18"/>
  <c r="J85" i="18"/>
  <c r="J86" i="18"/>
  <c r="J87" i="18"/>
  <c r="J88" i="18"/>
  <c r="J89" i="18"/>
  <c r="J90" i="18"/>
  <c r="J91" i="18"/>
  <c r="J92" i="18"/>
  <c r="J93" i="18"/>
  <c r="J94" i="18"/>
  <c r="J95" i="18"/>
  <c r="J96" i="18"/>
  <c r="J97" i="18"/>
  <c r="J98" i="18"/>
  <c r="J99" i="18"/>
  <c r="J100" i="18"/>
  <c r="J101" i="18"/>
  <c r="J102" i="18"/>
  <c r="J103" i="18"/>
  <c r="J104" i="18"/>
  <c r="J105" i="18"/>
  <c r="J106" i="18"/>
  <c r="J107" i="18"/>
  <c r="J108" i="18"/>
  <c r="J109" i="18"/>
  <c r="J110" i="18"/>
  <c r="J111" i="18"/>
  <c r="J112" i="18"/>
  <c r="J113" i="18"/>
  <c r="J114" i="18"/>
  <c r="J115" i="18"/>
  <c r="J116" i="18"/>
  <c r="J117" i="18"/>
  <c r="J118" i="18"/>
  <c r="J119" i="18"/>
  <c r="J120" i="18"/>
  <c r="J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3" i="18"/>
  <c r="I74" i="18"/>
  <c r="I75" i="18"/>
  <c r="I76" i="18"/>
  <c r="I77" i="18"/>
  <c r="I78" i="18"/>
  <c r="I79" i="18"/>
  <c r="I80" i="18"/>
  <c r="I81" i="18"/>
  <c r="I82" i="18"/>
  <c r="I83" i="18"/>
  <c r="I84" i="18"/>
  <c r="I85" i="18"/>
  <c r="I86" i="18"/>
  <c r="I87" i="18"/>
  <c r="I88" i="18"/>
  <c r="I89" i="18"/>
  <c r="I90" i="18"/>
  <c r="I91" i="18"/>
  <c r="I92" i="18"/>
  <c r="I93" i="18"/>
  <c r="I94" i="18"/>
  <c r="I95" i="18"/>
  <c r="I96" i="18"/>
  <c r="I97" i="18"/>
  <c r="I98" i="18"/>
  <c r="I99" i="18"/>
  <c r="I100" i="18"/>
  <c r="I101" i="18"/>
  <c r="I102" i="18"/>
  <c r="I103" i="18"/>
  <c r="I104" i="18"/>
  <c r="I105" i="18"/>
  <c r="I106" i="18"/>
  <c r="I107" i="18"/>
  <c r="I108" i="18"/>
  <c r="I109" i="18"/>
  <c r="I110" i="18"/>
  <c r="I111" i="18"/>
  <c r="I112" i="18"/>
  <c r="I113" i="18"/>
  <c r="I114" i="18"/>
  <c r="I115" i="18"/>
  <c r="I116" i="18"/>
  <c r="I117" i="18"/>
  <c r="I118" i="18"/>
  <c r="I119" i="18"/>
  <c r="I120" i="18"/>
  <c r="I6" i="18"/>
  <c r="D47" i="16"/>
  <c r="B120" i="18"/>
  <c r="C120" i="18" s="1"/>
  <c r="B113" i="18"/>
  <c r="C113" i="18" s="1"/>
  <c r="B114" i="18"/>
  <c r="C114" i="18" s="1"/>
  <c r="B115" i="18"/>
  <c r="C115" i="18" s="1"/>
  <c r="B116" i="18"/>
  <c r="C116" i="18" s="1"/>
  <c r="B117" i="18"/>
  <c r="C117" i="18" s="1"/>
  <c r="B118" i="18"/>
  <c r="C118" i="18" s="1"/>
  <c r="B119" i="18"/>
  <c r="C119" i="18" s="1"/>
  <c r="B82" i="18"/>
  <c r="C82" i="18" s="1"/>
  <c r="B83" i="18"/>
  <c r="C83" i="18" s="1"/>
  <c r="B84" i="18"/>
  <c r="C84" i="18" s="1"/>
  <c r="B85" i="18"/>
  <c r="B86" i="18"/>
  <c r="C86" i="18" s="1"/>
  <c r="B87" i="18"/>
  <c r="C87" i="18" s="1"/>
  <c r="B88" i="18"/>
  <c r="C88" i="18" s="1"/>
  <c r="B89" i="18"/>
  <c r="C89" i="18" s="1"/>
  <c r="B90" i="18"/>
  <c r="C90" i="18" s="1"/>
  <c r="B91" i="18"/>
  <c r="B92" i="18"/>
  <c r="C92" i="18" s="1"/>
  <c r="B93" i="18"/>
  <c r="C93" i="18" s="1"/>
  <c r="B94" i="18"/>
  <c r="C94" i="18" s="1"/>
  <c r="B95" i="18"/>
  <c r="C95" i="18" s="1"/>
  <c r="B96" i="18"/>
  <c r="C96" i="18" s="1"/>
  <c r="B97" i="18"/>
  <c r="B98" i="18"/>
  <c r="C98" i="18" s="1"/>
  <c r="B99" i="18"/>
  <c r="C99" i="18" s="1"/>
  <c r="B100" i="18"/>
  <c r="C100" i="18" s="1"/>
  <c r="B101" i="18"/>
  <c r="C101" i="18" s="1"/>
  <c r="B102" i="18"/>
  <c r="C102" i="18" s="1"/>
  <c r="B103" i="18"/>
  <c r="C103" i="18" s="1"/>
  <c r="B104" i="18"/>
  <c r="C104" i="18" s="1"/>
  <c r="B105" i="18"/>
  <c r="C105" i="18" s="1"/>
  <c r="B106" i="18"/>
  <c r="C106" i="18" s="1"/>
  <c r="B107" i="18"/>
  <c r="C107" i="18" s="1"/>
  <c r="B108" i="18"/>
  <c r="C108" i="18" s="1"/>
  <c r="B109" i="18"/>
  <c r="C109" i="18" s="1"/>
  <c r="B110" i="18"/>
  <c r="C110" i="18" s="1"/>
  <c r="B111" i="18"/>
  <c r="C111" i="18" s="1"/>
  <c r="B112" i="18"/>
  <c r="C112" i="18" s="1"/>
  <c r="C97" i="18" l="1"/>
  <c r="C91" i="18"/>
  <c r="C85" i="18"/>
  <c r="B7" i="18"/>
  <c r="D7" i="18" s="1"/>
  <c r="B8" i="18"/>
  <c r="C8" i="18" s="1"/>
  <c r="B9" i="18"/>
  <c r="B10" i="18"/>
  <c r="C10" i="18" s="1"/>
  <c r="B11" i="18"/>
  <c r="D11" i="18" s="1"/>
  <c r="B12" i="18"/>
  <c r="E12" i="18" s="1"/>
  <c r="B13" i="18"/>
  <c r="M13" i="18" s="1"/>
  <c r="B14" i="18"/>
  <c r="M14" i="18" s="1"/>
  <c r="B15" i="18"/>
  <c r="C15" i="18" s="1"/>
  <c r="B16" i="18"/>
  <c r="E16" i="18" s="1"/>
  <c r="B17" i="18"/>
  <c r="D17" i="18" s="1"/>
  <c r="B18" i="18"/>
  <c r="M18" i="18" s="1"/>
  <c r="B19" i="18"/>
  <c r="C19" i="18" s="1"/>
  <c r="B20" i="18"/>
  <c r="D20" i="18" s="1"/>
  <c r="B21" i="18"/>
  <c r="C21" i="18" s="1"/>
  <c r="B22" i="18"/>
  <c r="B23" i="18"/>
  <c r="D23" i="18" s="1"/>
  <c r="B24" i="18"/>
  <c r="C24" i="18" s="1"/>
  <c r="B25" i="18"/>
  <c r="M25" i="18" s="1"/>
  <c r="B26" i="18"/>
  <c r="C26" i="18" s="1"/>
  <c r="B27" i="18"/>
  <c r="E27" i="18" s="1"/>
  <c r="B28" i="18"/>
  <c r="E28" i="18" s="1"/>
  <c r="B29" i="18"/>
  <c r="D29" i="18" s="1"/>
  <c r="B30" i="18"/>
  <c r="E30" i="18" s="1"/>
  <c r="B31" i="18"/>
  <c r="C31" i="18" s="1"/>
  <c r="B32" i="18"/>
  <c r="M32" i="18" s="1"/>
  <c r="B33" i="18"/>
  <c r="C33" i="18" s="1"/>
  <c r="B34" i="18"/>
  <c r="E34" i="18" s="1"/>
  <c r="B35" i="18"/>
  <c r="D35" i="18" s="1"/>
  <c r="B36" i="18"/>
  <c r="C36" i="18" s="1"/>
  <c r="B37" i="18"/>
  <c r="C37" i="18" s="1"/>
  <c r="B38" i="18"/>
  <c r="C38" i="18" s="1"/>
  <c r="B39" i="18"/>
  <c r="M39" i="18" s="1"/>
  <c r="B40" i="18"/>
  <c r="E40" i="18" s="1"/>
  <c r="B41" i="18"/>
  <c r="D41" i="18" s="1"/>
  <c r="B42" i="18"/>
  <c r="C42" i="18" s="1"/>
  <c r="B43" i="18"/>
  <c r="D43" i="18" s="1"/>
  <c r="B44" i="18"/>
  <c r="C44" i="18" s="1"/>
  <c r="B45" i="18"/>
  <c r="C45" i="18" s="1"/>
  <c r="B46" i="18"/>
  <c r="B47" i="18"/>
  <c r="C47" i="18" s="1"/>
  <c r="B48" i="18"/>
  <c r="C48" i="18" s="1"/>
  <c r="B49" i="18"/>
  <c r="B50" i="18"/>
  <c r="B51" i="18"/>
  <c r="C51" i="18" s="1"/>
  <c r="B52" i="18"/>
  <c r="B53" i="18"/>
  <c r="C53" i="18" s="1"/>
  <c r="B54" i="18"/>
  <c r="C54" i="18" s="1"/>
  <c r="B55" i="18"/>
  <c r="C55" i="18" s="1"/>
  <c r="B56" i="18"/>
  <c r="B57" i="18"/>
  <c r="B58" i="18"/>
  <c r="B59" i="18"/>
  <c r="C59" i="18" s="1"/>
  <c r="B60" i="18"/>
  <c r="C60" i="18" s="1"/>
  <c r="B61" i="18"/>
  <c r="B62" i="18"/>
  <c r="C62" i="18" s="1"/>
  <c r="B63" i="18"/>
  <c r="B64" i="18"/>
  <c r="B65" i="18"/>
  <c r="C65" i="18" s="1"/>
  <c r="B66" i="18"/>
  <c r="C66" i="18" s="1"/>
  <c r="B67" i="18"/>
  <c r="C67" i="18" s="1"/>
  <c r="B68" i="18"/>
  <c r="B69" i="18"/>
  <c r="C69" i="18" s="1"/>
  <c r="B70" i="18"/>
  <c r="B71" i="18"/>
  <c r="C71" i="18" s="1"/>
  <c r="B72" i="18"/>
  <c r="C72" i="18" s="1"/>
  <c r="B73" i="18"/>
  <c r="C73" i="18" s="1"/>
  <c r="B74" i="18"/>
  <c r="C74" i="18" s="1"/>
  <c r="B75" i="18"/>
  <c r="B76" i="18"/>
  <c r="B77" i="18"/>
  <c r="C77" i="18" s="1"/>
  <c r="B78" i="18"/>
  <c r="C78" i="18" s="1"/>
  <c r="B79" i="18"/>
  <c r="B80" i="18"/>
  <c r="C80" i="18" s="1"/>
  <c r="B81" i="18"/>
  <c r="C81" i="18" s="1"/>
  <c r="H35" i="18" l="1"/>
  <c r="H23" i="18"/>
  <c r="H11" i="18"/>
  <c r="H20" i="18"/>
  <c r="H43" i="18"/>
  <c r="H7" i="18"/>
  <c r="H29" i="18"/>
  <c r="H17" i="18"/>
  <c r="H41" i="18"/>
  <c r="C17" i="18"/>
  <c r="E38" i="18"/>
  <c r="D12" i="18"/>
  <c r="G12" i="18" s="1"/>
  <c r="C12" i="18"/>
  <c r="D22" i="18"/>
  <c r="C22" i="18"/>
  <c r="M7" i="18"/>
  <c r="C7" i="18"/>
  <c r="M12" i="18"/>
  <c r="M8" i="18"/>
  <c r="N8" i="18" s="1"/>
  <c r="E8" i="18"/>
  <c r="D8" i="18"/>
  <c r="E18" i="18"/>
  <c r="D18" i="18"/>
  <c r="M38" i="18"/>
  <c r="N38" i="18" s="1"/>
  <c r="C18" i="18"/>
  <c r="M24" i="18"/>
  <c r="N24" i="18" s="1"/>
  <c r="M42" i="18"/>
  <c r="N42" i="18" s="1"/>
  <c r="M36" i="18"/>
  <c r="N36" i="18" s="1"/>
  <c r="D42" i="18"/>
  <c r="D36" i="18"/>
  <c r="E42" i="18"/>
  <c r="G42" i="18" s="1"/>
  <c r="E36" i="18"/>
  <c r="G36" i="18" s="1"/>
  <c r="E11" i="18"/>
  <c r="G11" i="18" s="1"/>
  <c r="C16" i="18"/>
  <c r="M10" i="18"/>
  <c r="N10" i="18" s="1"/>
  <c r="C29" i="18"/>
  <c r="C20" i="18"/>
  <c r="E41" i="18"/>
  <c r="G41" i="18" s="1"/>
  <c r="C11" i="18"/>
  <c r="M31" i="18"/>
  <c r="N31" i="18" s="1"/>
  <c r="D13" i="18"/>
  <c r="E37" i="18"/>
  <c r="E31" i="18"/>
  <c r="G31" i="18" s="1"/>
  <c r="M26" i="18"/>
  <c r="N26" i="18" s="1"/>
  <c r="M29" i="18"/>
  <c r="E29" i="18"/>
  <c r="G29" i="18" s="1"/>
  <c r="M22" i="18"/>
  <c r="M11" i="18"/>
  <c r="E7" i="18"/>
  <c r="G7" i="18" s="1"/>
  <c r="D30" i="18"/>
  <c r="G30" i="18" s="1"/>
  <c r="D21" i="18"/>
  <c r="E14" i="18"/>
  <c r="C41" i="18"/>
  <c r="D37" i="18"/>
  <c r="C30" i="18"/>
  <c r="M23" i="18"/>
  <c r="D14" i="18"/>
  <c r="M40" i="18"/>
  <c r="E26" i="18"/>
  <c r="M20" i="18"/>
  <c r="D26" i="18"/>
  <c r="E23" i="18"/>
  <c r="G23" i="18" s="1"/>
  <c r="E20" i="18"/>
  <c r="G20" i="18" s="1"/>
  <c r="M17" i="18"/>
  <c r="C23" i="18"/>
  <c r="E17" i="18"/>
  <c r="G17" i="18" s="1"/>
  <c r="E22" i="18"/>
  <c r="M35" i="18"/>
  <c r="E24" i="18"/>
  <c r="G24" i="18" s="1"/>
  <c r="E35" i="18"/>
  <c r="G35" i="18" s="1"/>
  <c r="M30" i="18"/>
  <c r="D24" i="18"/>
  <c r="M21" i="18"/>
  <c r="N21" i="18" s="1"/>
  <c r="M41" i="18"/>
  <c r="M37" i="18"/>
  <c r="N37" i="18" s="1"/>
  <c r="C35" i="18"/>
  <c r="D27" i="18"/>
  <c r="G27" i="18" s="1"/>
  <c r="E21" i="18"/>
  <c r="G21" i="18" s="1"/>
  <c r="D44" i="18"/>
  <c r="C68" i="18"/>
  <c r="C49" i="18"/>
  <c r="M19" i="18"/>
  <c r="N19" i="18" s="1"/>
  <c r="D19" i="18"/>
  <c r="E19" i="18"/>
  <c r="C57" i="18"/>
  <c r="D34" i="18"/>
  <c r="G34" i="18" s="1"/>
  <c r="C34" i="18"/>
  <c r="M34" i="18"/>
  <c r="C75" i="18"/>
  <c r="C63" i="18"/>
  <c r="C61" i="18"/>
  <c r="D40" i="18"/>
  <c r="G40" i="18" s="1"/>
  <c r="C40" i="18"/>
  <c r="D28" i="18"/>
  <c r="G28" i="18" s="1"/>
  <c r="C28" i="18"/>
  <c r="M28" i="18"/>
  <c r="M33" i="18"/>
  <c r="N33" i="18" s="1"/>
  <c r="D16" i="18"/>
  <c r="G16" i="18" s="1"/>
  <c r="M16" i="18"/>
  <c r="C32" i="18"/>
  <c r="D32" i="18"/>
  <c r="E32" i="18"/>
  <c r="G32" i="18" s="1"/>
  <c r="C50" i="18"/>
  <c r="E43" i="18"/>
  <c r="F43" i="18" s="1"/>
  <c r="E33" i="18"/>
  <c r="G33" i="18" s="1"/>
  <c r="D15" i="18"/>
  <c r="D10" i="18"/>
  <c r="E10" i="18"/>
  <c r="C46" i="18"/>
  <c r="C43" i="18"/>
  <c r="M43" i="18"/>
  <c r="D33" i="18"/>
  <c r="E13" i="18"/>
  <c r="G13" i="18" s="1"/>
  <c r="M15" i="18"/>
  <c r="N15" i="18" s="1"/>
  <c r="E15" i="18"/>
  <c r="C39" i="18"/>
  <c r="D39" i="18"/>
  <c r="E39" i="18"/>
  <c r="C27" i="18"/>
  <c r="M27" i="18"/>
  <c r="C25" i="18"/>
  <c r="D25" i="18"/>
  <c r="E25" i="18"/>
  <c r="C13" i="18"/>
  <c r="C9" i="18"/>
  <c r="D9" i="18"/>
  <c r="E9" i="18"/>
  <c r="G9" i="18" s="1"/>
  <c r="M9" i="18"/>
  <c r="C70" i="18"/>
  <c r="C56" i="18"/>
  <c r="C79" i="18"/>
  <c r="C64" i="18"/>
  <c r="C76" i="18"/>
  <c r="C58" i="18"/>
  <c r="D38" i="18"/>
  <c r="D31" i="18"/>
  <c r="C14" i="18"/>
  <c r="C52" i="18"/>
  <c r="G26" i="18" l="1"/>
  <c r="G38" i="18"/>
  <c r="G39" i="18"/>
  <c r="G10" i="18"/>
  <c r="G19" i="18"/>
  <c r="G18" i="18"/>
  <c r="G8" i="18"/>
  <c r="G22" i="18"/>
  <c r="G37" i="18"/>
  <c r="G14" i="18"/>
  <c r="G15" i="18"/>
  <c r="G25" i="18"/>
  <c r="H21" i="18"/>
  <c r="F21" i="18"/>
  <c r="F30" i="18"/>
  <c r="H30" i="18"/>
  <c r="H22" i="18"/>
  <c r="F22" i="18"/>
  <c r="F7" i="18"/>
  <c r="K7" i="18" s="1"/>
  <c r="H26" i="18"/>
  <c r="F26" i="18"/>
  <c r="H24" i="18"/>
  <c r="F24" i="18"/>
  <c r="H12" i="18"/>
  <c r="F12" i="18"/>
  <c r="H38" i="18"/>
  <c r="F38" i="18"/>
  <c r="H10" i="18"/>
  <c r="F10" i="18"/>
  <c r="F19" i="18"/>
  <c r="H19" i="18"/>
  <c r="F18" i="18"/>
  <c r="H18" i="18"/>
  <c r="H34" i="18"/>
  <c r="F34" i="18"/>
  <c r="H15" i="18"/>
  <c r="F15" i="18"/>
  <c r="F20" i="18"/>
  <c r="H39" i="18"/>
  <c r="F39" i="18"/>
  <c r="H14" i="18"/>
  <c r="F14" i="18"/>
  <c r="F8" i="18"/>
  <c r="H8" i="18"/>
  <c r="F11" i="18"/>
  <c r="F41" i="18"/>
  <c r="H16" i="18"/>
  <c r="F16" i="18"/>
  <c r="H28" i="18"/>
  <c r="F28" i="18"/>
  <c r="H44" i="18"/>
  <c r="F23" i="18"/>
  <c r="H40" i="18"/>
  <c r="F40" i="18"/>
  <c r="H37" i="18"/>
  <c r="F37" i="18"/>
  <c r="H36" i="18"/>
  <c r="F36" i="18"/>
  <c r="F17" i="18"/>
  <c r="H27" i="18"/>
  <c r="F27" i="18"/>
  <c r="H13" i="18"/>
  <c r="F13" i="18"/>
  <c r="F42" i="18"/>
  <c r="H42" i="18"/>
  <c r="F35" i="18"/>
  <c r="H25" i="18"/>
  <c r="F25" i="18"/>
  <c r="E44" i="18"/>
  <c r="G43" i="18"/>
  <c r="H9" i="18"/>
  <c r="F9" i="18"/>
  <c r="F32" i="18"/>
  <c r="H32" i="18"/>
  <c r="F31" i="18"/>
  <c r="H31" i="18"/>
  <c r="H33" i="18"/>
  <c r="F33" i="18"/>
  <c r="F29" i="18"/>
  <c r="N18" i="18"/>
  <c r="N25" i="18"/>
  <c r="N32" i="18"/>
  <c r="N20" i="18"/>
  <c r="D45" i="18"/>
  <c r="N17" i="18"/>
  <c r="N12" i="18"/>
  <c r="N16" i="18"/>
  <c r="N30" i="18"/>
  <c r="N29" i="18"/>
  <c r="N34" i="18"/>
  <c r="N11" i="18"/>
  <c r="N22" i="18"/>
  <c r="N27" i="18"/>
  <c r="N9" i="18"/>
  <c r="N23" i="18"/>
  <c r="N7" i="18"/>
  <c r="N28" i="18"/>
  <c r="N41" i="18"/>
  <c r="N35" i="18"/>
  <c r="N39" i="18"/>
  <c r="N13" i="18"/>
  <c r="N43" i="18"/>
  <c r="M44" i="18"/>
  <c r="N14" i="18"/>
  <c r="N40" i="18"/>
  <c r="E45" i="18" l="1"/>
  <c r="F45" i="18" s="1"/>
  <c r="G44" i="18"/>
  <c r="F44" i="18"/>
  <c r="H45" i="18"/>
  <c r="K41" i="18"/>
  <c r="L41" i="18" s="1"/>
  <c r="K29" i="18"/>
  <c r="L29" i="18" s="1"/>
  <c r="K15" i="18"/>
  <c r="L15" i="18" s="1"/>
  <c r="K17" i="18"/>
  <c r="L17" i="18" s="1"/>
  <c r="K11" i="18"/>
  <c r="L11" i="18" s="1"/>
  <c r="K43" i="18"/>
  <c r="L43" i="18" s="1"/>
  <c r="K20" i="18"/>
  <c r="L20" i="18" s="1"/>
  <c r="K25" i="18"/>
  <c r="L25" i="18" s="1"/>
  <c r="K33" i="18"/>
  <c r="L33" i="18" s="1"/>
  <c r="K8" i="18"/>
  <c r="L8" i="18" s="1"/>
  <c r="K34" i="18"/>
  <c r="L34" i="18" s="1"/>
  <c r="K37" i="18"/>
  <c r="L37" i="18" s="1"/>
  <c r="K14" i="18"/>
  <c r="L14" i="18" s="1"/>
  <c r="K38" i="18"/>
  <c r="L38" i="18" s="1"/>
  <c r="K32" i="18"/>
  <c r="L32" i="18" s="1"/>
  <c r="K40" i="18"/>
  <c r="L40" i="18" s="1"/>
  <c r="K19" i="18"/>
  <c r="L19" i="18" s="1"/>
  <c r="D46" i="18"/>
  <c r="K28" i="18"/>
  <c r="L28" i="18" s="1"/>
  <c r="K22" i="18"/>
  <c r="L22" i="18" s="1"/>
  <c r="K42" i="18"/>
  <c r="L42" i="18" s="1"/>
  <c r="K9" i="18"/>
  <c r="L9" i="18" s="1"/>
  <c r="K12" i="18"/>
  <c r="L12" i="18" s="1"/>
  <c r="K16" i="18"/>
  <c r="L16" i="18" s="1"/>
  <c r="K21" i="18"/>
  <c r="L21" i="18" s="1"/>
  <c r="K26" i="18"/>
  <c r="L26" i="18" s="1"/>
  <c r="K23" i="18"/>
  <c r="L23" i="18" s="1"/>
  <c r="K36" i="18"/>
  <c r="L36" i="18" s="1"/>
  <c r="K24" i="18"/>
  <c r="L24" i="18" s="1"/>
  <c r="K18" i="18"/>
  <c r="L18" i="18" s="1"/>
  <c r="K35" i="18"/>
  <c r="L35" i="18" s="1"/>
  <c r="K30" i="18"/>
  <c r="L30" i="18" s="1"/>
  <c r="K13" i="18"/>
  <c r="L13" i="18" s="1"/>
  <c r="K39" i="18"/>
  <c r="L39" i="18" s="1"/>
  <c r="K10" i="18"/>
  <c r="L10" i="18" s="1"/>
  <c r="K27" i="18"/>
  <c r="L27" i="18" s="1"/>
  <c r="K31" i="18"/>
  <c r="L31" i="18" s="1"/>
  <c r="L7" i="18"/>
  <c r="N44" i="18"/>
  <c r="M45" i="18"/>
  <c r="K44" i="18" l="1"/>
  <c r="L44" i="18" s="1"/>
  <c r="H46" i="18"/>
  <c r="E46" i="18"/>
  <c r="G45" i="18"/>
  <c r="K45" i="18" s="1"/>
  <c r="L45" i="18" s="1"/>
  <c r="D47" i="18"/>
  <c r="N45" i="18"/>
  <c r="M46" i="18"/>
  <c r="H47" i="18" l="1"/>
  <c r="E47" i="18"/>
  <c r="G46" i="18"/>
  <c r="F46" i="18"/>
  <c r="D48" i="18"/>
  <c r="M47" i="18"/>
  <c r="N46" i="18"/>
  <c r="K46" i="18" l="1"/>
  <c r="L46" i="18" s="1"/>
  <c r="H48" i="18"/>
  <c r="E48" i="18"/>
  <c r="G47" i="18"/>
  <c r="F47" i="18"/>
  <c r="D49" i="18"/>
  <c r="N47" i="18"/>
  <c r="M48" i="18"/>
  <c r="K47" i="18" l="1"/>
  <c r="L47" i="18" s="1"/>
  <c r="H49" i="18"/>
  <c r="E49" i="18"/>
  <c r="G48" i="18"/>
  <c r="F48" i="18"/>
  <c r="D50" i="18"/>
  <c r="N48" i="18"/>
  <c r="M49" i="18"/>
  <c r="K48" i="18" l="1"/>
  <c r="L48" i="18" s="1"/>
  <c r="H50" i="18"/>
  <c r="E50" i="18"/>
  <c r="G49" i="18"/>
  <c r="F49" i="18"/>
  <c r="D51" i="18"/>
  <c r="N49" i="18"/>
  <c r="M50" i="18"/>
  <c r="K49" i="18" l="1"/>
  <c r="L49" i="18" s="1"/>
  <c r="H51" i="18"/>
  <c r="E51" i="18"/>
  <c r="G50" i="18"/>
  <c r="F50" i="18"/>
  <c r="D52" i="18"/>
  <c r="N50" i="18"/>
  <c r="M51" i="18"/>
  <c r="K50" i="18" l="1"/>
  <c r="L50" i="18" s="1"/>
  <c r="H52" i="18"/>
  <c r="E52" i="18"/>
  <c r="G51" i="18"/>
  <c r="F51" i="18"/>
  <c r="D53" i="18"/>
  <c r="N51" i="18"/>
  <c r="M52" i="18"/>
  <c r="K51" i="18" l="1"/>
  <c r="L51" i="18" s="1"/>
  <c r="H53" i="18"/>
  <c r="E53" i="18"/>
  <c r="G52" i="18"/>
  <c r="F52" i="18"/>
  <c r="D54" i="18"/>
  <c r="N52" i="18"/>
  <c r="M53" i="18"/>
  <c r="K52" i="18" l="1"/>
  <c r="L52" i="18" s="1"/>
  <c r="H54" i="18"/>
  <c r="E54" i="18"/>
  <c r="G53" i="18"/>
  <c r="F53" i="18"/>
  <c r="D55" i="18"/>
  <c r="N53" i="18"/>
  <c r="M54" i="18"/>
  <c r="K53" i="18" l="1"/>
  <c r="L53" i="18" s="1"/>
  <c r="H55" i="18"/>
  <c r="E55" i="18"/>
  <c r="G54" i="18"/>
  <c r="F54" i="18"/>
  <c r="D56" i="18"/>
  <c r="N54" i="18"/>
  <c r="M55" i="18"/>
  <c r="K54" i="18" l="1"/>
  <c r="L54" i="18" s="1"/>
  <c r="H56" i="18"/>
  <c r="E56" i="18"/>
  <c r="G55" i="18"/>
  <c r="F55" i="18"/>
  <c r="D57" i="18"/>
  <c r="N55" i="18"/>
  <c r="M56" i="18"/>
  <c r="K55" i="18" l="1"/>
  <c r="L55" i="18" s="1"/>
  <c r="H57" i="18"/>
  <c r="E57" i="18"/>
  <c r="G56" i="18"/>
  <c r="F56" i="18"/>
  <c r="D58" i="18"/>
  <c r="N56" i="18"/>
  <c r="M57" i="18"/>
  <c r="K56" i="18" l="1"/>
  <c r="L56" i="18" s="1"/>
  <c r="H58" i="18"/>
  <c r="E58" i="18"/>
  <c r="G57" i="18"/>
  <c r="F57" i="18"/>
  <c r="D59" i="18"/>
  <c r="N57" i="18"/>
  <c r="M58" i="18"/>
  <c r="K57" i="18" l="1"/>
  <c r="L57" i="18" s="1"/>
  <c r="H59" i="18"/>
  <c r="E59" i="18"/>
  <c r="G58" i="18"/>
  <c r="F58" i="18"/>
  <c r="D60" i="18"/>
  <c r="N58" i="18"/>
  <c r="M59" i="18"/>
  <c r="K58" i="18" l="1"/>
  <c r="L58" i="18" s="1"/>
  <c r="H60" i="18"/>
  <c r="E60" i="18"/>
  <c r="G59" i="18"/>
  <c r="F59" i="18"/>
  <c r="D61" i="18"/>
  <c r="N59" i="18"/>
  <c r="M60" i="18"/>
  <c r="K59" i="18" l="1"/>
  <c r="L59" i="18" s="1"/>
  <c r="H61" i="18"/>
  <c r="E61" i="18"/>
  <c r="G60" i="18"/>
  <c r="F60" i="18"/>
  <c r="D62" i="18"/>
  <c r="N60" i="18"/>
  <c r="M61" i="18"/>
  <c r="K60" i="18" l="1"/>
  <c r="L60" i="18" s="1"/>
  <c r="H62" i="18"/>
  <c r="E62" i="18"/>
  <c r="G61" i="18"/>
  <c r="F61" i="18"/>
  <c r="D63" i="18"/>
  <c r="N61" i="18"/>
  <c r="M62" i="18"/>
  <c r="K61" i="18" l="1"/>
  <c r="L61" i="18" s="1"/>
  <c r="H63" i="18"/>
  <c r="E63" i="18"/>
  <c r="G62" i="18"/>
  <c r="F62" i="18"/>
  <c r="D64" i="18"/>
  <c r="N62" i="18"/>
  <c r="M63" i="18"/>
  <c r="K62" i="18" l="1"/>
  <c r="L62" i="18" s="1"/>
  <c r="H64" i="18"/>
  <c r="E64" i="18"/>
  <c r="G63" i="18"/>
  <c r="F63" i="18"/>
  <c r="D65" i="18"/>
  <c r="N63" i="18"/>
  <c r="M64" i="18"/>
  <c r="K63" i="18" l="1"/>
  <c r="L63" i="18" s="1"/>
  <c r="H65" i="18"/>
  <c r="E65" i="18"/>
  <c r="G64" i="18"/>
  <c r="F64" i="18"/>
  <c r="D66" i="18"/>
  <c r="M65" i="18"/>
  <c r="N64" i="18"/>
  <c r="K64" i="18" l="1"/>
  <c r="L64" i="18" s="1"/>
  <c r="H66" i="18"/>
  <c r="E66" i="18"/>
  <c r="G65" i="18"/>
  <c r="F65" i="18"/>
  <c r="D67" i="18"/>
  <c r="N65" i="18"/>
  <c r="M66" i="18"/>
  <c r="K65" i="18" l="1"/>
  <c r="L65" i="18" s="1"/>
  <c r="H67" i="18"/>
  <c r="E67" i="18"/>
  <c r="G66" i="18"/>
  <c r="F66" i="18"/>
  <c r="D68" i="18"/>
  <c r="N66" i="18"/>
  <c r="M67" i="18"/>
  <c r="K66" i="18" l="1"/>
  <c r="L66" i="18" s="1"/>
  <c r="H68" i="18"/>
  <c r="E68" i="18"/>
  <c r="G67" i="18"/>
  <c r="F67" i="18"/>
  <c r="D69" i="18"/>
  <c r="N67" i="18"/>
  <c r="M68" i="18"/>
  <c r="K67" i="18" l="1"/>
  <c r="L67" i="18" s="1"/>
  <c r="H69" i="18"/>
  <c r="E69" i="18"/>
  <c r="G68" i="18"/>
  <c r="F68" i="18"/>
  <c r="D70" i="18"/>
  <c r="M69" i="18"/>
  <c r="N68" i="18"/>
  <c r="K68" i="18" l="1"/>
  <c r="L68" i="18" s="1"/>
  <c r="H70" i="18"/>
  <c r="E70" i="18"/>
  <c r="G69" i="18"/>
  <c r="F69" i="18"/>
  <c r="D71" i="18"/>
  <c r="N69" i="18"/>
  <c r="M70" i="18"/>
  <c r="K69" i="18" l="1"/>
  <c r="L69" i="18" s="1"/>
  <c r="H71" i="18"/>
  <c r="E71" i="18"/>
  <c r="G70" i="18"/>
  <c r="F70" i="18"/>
  <c r="D72" i="18"/>
  <c r="M71" i="18"/>
  <c r="N70" i="18"/>
  <c r="K70" i="18" l="1"/>
  <c r="L70" i="18" s="1"/>
  <c r="H72" i="18"/>
  <c r="E72" i="18"/>
  <c r="G71" i="18"/>
  <c r="F71" i="18"/>
  <c r="D73" i="18"/>
  <c r="N71" i="18"/>
  <c r="M72" i="18"/>
  <c r="K71" i="18" l="1"/>
  <c r="L71" i="18" s="1"/>
  <c r="H73" i="18"/>
  <c r="E73" i="18"/>
  <c r="G72" i="18"/>
  <c r="F72" i="18"/>
  <c r="D74" i="18"/>
  <c r="N72" i="18"/>
  <c r="M73" i="18"/>
  <c r="B6" i="18"/>
  <c r="K72" i="18" l="1"/>
  <c r="L72" i="18" s="1"/>
  <c r="H74" i="18"/>
  <c r="E74" i="18"/>
  <c r="G73" i="18"/>
  <c r="F73" i="18"/>
  <c r="C6" i="18"/>
  <c r="O5" i="18" s="1"/>
  <c r="J10" i="16" s="1"/>
  <c r="G5" i="18"/>
  <c r="D75" i="18"/>
  <c r="E6" i="18"/>
  <c r="G6" i="18" s="1"/>
  <c r="N73" i="18"/>
  <c r="M74" i="18"/>
  <c r="D6" i="18"/>
  <c r="H6" i="18" s="1"/>
  <c r="K73" i="18" l="1"/>
  <c r="L73" i="18" s="1"/>
  <c r="H75" i="18"/>
  <c r="E75" i="18"/>
  <c r="G74" i="18"/>
  <c r="F74" i="18"/>
  <c r="D76" i="18"/>
  <c r="F6" i="18"/>
  <c r="N6" i="18"/>
  <c r="N74" i="18"/>
  <c r="M75" i="18"/>
  <c r="K74" i="18" l="1"/>
  <c r="L74" i="18" s="1"/>
  <c r="H76" i="18"/>
  <c r="E76" i="18"/>
  <c r="G75" i="18"/>
  <c r="F75" i="18"/>
  <c r="D77" i="18"/>
  <c r="K6" i="18"/>
  <c r="L6" i="18" s="1"/>
  <c r="N75" i="18"/>
  <c r="M76" i="18"/>
  <c r="K75" i="18" l="1"/>
  <c r="L75" i="18" s="1"/>
  <c r="H77" i="18"/>
  <c r="E77" i="18"/>
  <c r="G76" i="18"/>
  <c r="F76" i="18"/>
  <c r="D78" i="18"/>
  <c r="M77" i="18"/>
  <c r="N76" i="18"/>
  <c r="K76" i="18" l="1"/>
  <c r="L76" i="18" s="1"/>
  <c r="H78" i="18"/>
  <c r="E78" i="18"/>
  <c r="G77" i="18"/>
  <c r="F77" i="18"/>
  <c r="D79" i="18"/>
  <c r="N77" i="18"/>
  <c r="M78" i="18"/>
  <c r="I5" i="18"/>
  <c r="J5" i="18"/>
  <c r="H5" i="18"/>
  <c r="K77" i="18" l="1"/>
  <c r="L77" i="18" s="1"/>
  <c r="H79" i="18"/>
  <c r="E79" i="18"/>
  <c r="G78" i="18"/>
  <c r="F78" i="18"/>
  <c r="D80" i="18"/>
  <c r="N78" i="18"/>
  <c r="M79" i="18"/>
  <c r="F5" i="18"/>
  <c r="K78" i="18" l="1"/>
  <c r="L78" i="18" s="1"/>
  <c r="H80" i="18"/>
  <c r="E80" i="18"/>
  <c r="G79" i="18"/>
  <c r="F79" i="18"/>
  <c r="D81" i="18"/>
  <c r="N79" i="18"/>
  <c r="M80" i="18"/>
  <c r="L5" i="18"/>
  <c r="J8" i="16" s="1"/>
  <c r="K5" i="18"/>
  <c r="J7" i="16" s="1"/>
  <c r="K79" i="18" l="1"/>
  <c r="L79" i="18" s="1"/>
  <c r="H81" i="18"/>
  <c r="E81" i="18"/>
  <c r="G80" i="18"/>
  <c r="F80" i="18"/>
  <c r="D82" i="18"/>
  <c r="N80" i="18"/>
  <c r="M81" i="18"/>
  <c r="K80" i="18" l="1"/>
  <c r="L80" i="18" s="1"/>
  <c r="H82" i="18"/>
  <c r="E82" i="18"/>
  <c r="G81" i="18"/>
  <c r="F81" i="18"/>
  <c r="D83" i="18"/>
  <c r="N81" i="18"/>
  <c r="M82" i="18"/>
  <c r="K81" i="18" l="1"/>
  <c r="L81" i="18" s="1"/>
  <c r="H83" i="18"/>
  <c r="E83" i="18"/>
  <c r="G82" i="18"/>
  <c r="F82" i="18"/>
  <c r="D84" i="18"/>
  <c r="N82" i="18"/>
  <c r="M83" i="18"/>
  <c r="K82" i="18" l="1"/>
  <c r="L82" i="18" s="1"/>
  <c r="H84" i="18"/>
  <c r="E84" i="18"/>
  <c r="G83" i="18"/>
  <c r="F83" i="18"/>
  <c r="D85" i="18"/>
  <c r="N83" i="18"/>
  <c r="M84" i="18"/>
  <c r="K83" i="18" l="1"/>
  <c r="L83" i="18" s="1"/>
  <c r="H85" i="18"/>
  <c r="E85" i="18"/>
  <c r="G84" i="18"/>
  <c r="F84" i="18"/>
  <c r="D86" i="18"/>
  <c r="N84" i="18"/>
  <c r="M85" i="18"/>
  <c r="K84" i="18" l="1"/>
  <c r="L84" i="18" s="1"/>
  <c r="H86" i="18"/>
  <c r="E86" i="18"/>
  <c r="G85" i="18"/>
  <c r="F85" i="18"/>
  <c r="D87" i="18"/>
  <c r="N85" i="18"/>
  <c r="M86" i="18"/>
  <c r="K85" i="18" l="1"/>
  <c r="L85" i="18" s="1"/>
  <c r="H87" i="18"/>
  <c r="E87" i="18"/>
  <c r="G86" i="18"/>
  <c r="F86" i="18"/>
  <c r="D88" i="18"/>
  <c r="M87" i="18"/>
  <c r="N86" i="18"/>
  <c r="K86" i="18" l="1"/>
  <c r="L86" i="18" s="1"/>
  <c r="H88" i="18"/>
  <c r="E88" i="18"/>
  <c r="G87" i="18"/>
  <c r="F87" i="18"/>
  <c r="D89" i="18"/>
  <c r="N87" i="18"/>
  <c r="M88" i="18"/>
  <c r="K87" i="18" l="1"/>
  <c r="L87" i="18" s="1"/>
  <c r="H89" i="18"/>
  <c r="E89" i="18"/>
  <c r="G88" i="18"/>
  <c r="F88" i="18"/>
  <c r="D90" i="18"/>
  <c r="M89" i="18"/>
  <c r="N88" i="18"/>
  <c r="K88" i="18" l="1"/>
  <c r="L88" i="18" s="1"/>
  <c r="H90" i="18"/>
  <c r="E90" i="18"/>
  <c r="G89" i="18"/>
  <c r="F89" i="18"/>
  <c r="D91" i="18"/>
  <c r="N89" i="18"/>
  <c r="M90" i="18"/>
  <c r="K89" i="18" l="1"/>
  <c r="L89" i="18" s="1"/>
  <c r="H91" i="18"/>
  <c r="E91" i="18"/>
  <c r="G90" i="18"/>
  <c r="F90" i="18"/>
  <c r="D92" i="18"/>
  <c r="N90" i="18"/>
  <c r="M91" i="18"/>
  <c r="K90" i="18" l="1"/>
  <c r="L90" i="18" s="1"/>
  <c r="H92" i="18"/>
  <c r="E92" i="18"/>
  <c r="G91" i="18"/>
  <c r="F91" i="18"/>
  <c r="D93" i="18"/>
  <c r="M92" i="18"/>
  <c r="N91" i="18"/>
  <c r="K91" i="18" l="1"/>
  <c r="L91" i="18" s="1"/>
  <c r="H93" i="18"/>
  <c r="E93" i="18"/>
  <c r="G92" i="18"/>
  <c r="F92" i="18"/>
  <c r="D94" i="18"/>
  <c r="N92" i="18"/>
  <c r="M93" i="18"/>
  <c r="K92" i="18" l="1"/>
  <c r="L92" i="18" s="1"/>
  <c r="H94" i="18"/>
  <c r="E94" i="18"/>
  <c r="G93" i="18"/>
  <c r="F93" i="18"/>
  <c r="D95" i="18"/>
  <c r="N93" i="18"/>
  <c r="M94" i="18"/>
  <c r="K93" i="18" l="1"/>
  <c r="L93" i="18" s="1"/>
  <c r="H95" i="18"/>
  <c r="E95" i="18"/>
  <c r="G94" i="18"/>
  <c r="F94" i="18"/>
  <c r="D96" i="18"/>
  <c r="M95" i="18"/>
  <c r="N94" i="18"/>
  <c r="K94" i="18" l="1"/>
  <c r="L94" i="18" s="1"/>
  <c r="H96" i="18"/>
  <c r="E96" i="18"/>
  <c r="G95" i="18"/>
  <c r="F95" i="18"/>
  <c r="D97" i="18"/>
  <c r="N95" i="18"/>
  <c r="M96" i="18"/>
  <c r="K95" i="18" l="1"/>
  <c r="L95" i="18" s="1"/>
  <c r="H97" i="18"/>
  <c r="E97" i="18"/>
  <c r="G96" i="18"/>
  <c r="F96" i="18"/>
  <c r="D98" i="18"/>
  <c r="N96" i="18"/>
  <c r="M97" i="18"/>
  <c r="K96" i="18" l="1"/>
  <c r="L96" i="18" s="1"/>
  <c r="H98" i="18"/>
  <c r="E98" i="18"/>
  <c r="G97" i="18"/>
  <c r="F97" i="18"/>
  <c r="D99" i="18"/>
  <c r="N97" i="18"/>
  <c r="M98" i="18"/>
  <c r="K97" i="18" l="1"/>
  <c r="L97" i="18" s="1"/>
  <c r="H99" i="18"/>
  <c r="E99" i="18"/>
  <c r="G98" i="18"/>
  <c r="F98" i="18"/>
  <c r="D100" i="18"/>
  <c r="N98" i="18"/>
  <c r="M99" i="18"/>
  <c r="K98" i="18" l="1"/>
  <c r="L98" i="18" s="1"/>
  <c r="H100" i="18"/>
  <c r="E100" i="18"/>
  <c r="G99" i="18"/>
  <c r="F99" i="18"/>
  <c r="D101" i="18"/>
  <c r="N99" i="18"/>
  <c r="M100" i="18"/>
  <c r="K99" i="18" l="1"/>
  <c r="L99" i="18" s="1"/>
  <c r="H101" i="18"/>
  <c r="E101" i="18"/>
  <c r="G100" i="18"/>
  <c r="F100" i="18"/>
  <c r="D102" i="18"/>
  <c r="M101" i="18"/>
  <c r="N100" i="18"/>
  <c r="K100" i="18" l="1"/>
  <c r="L100" i="18" s="1"/>
  <c r="H102" i="18"/>
  <c r="E102" i="18"/>
  <c r="G101" i="18"/>
  <c r="F101" i="18"/>
  <c r="D103" i="18"/>
  <c r="N101" i="18"/>
  <c r="M102" i="18"/>
  <c r="K101" i="18" l="1"/>
  <c r="L101" i="18" s="1"/>
  <c r="H103" i="18"/>
  <c r="E103" i="18"/>
  <c r="G102" i="18"/>
  <c r="F102" i="18"/>
  <c r="D104" i="18"/>
  <c r="N102" i="18"/>
  <c r="M103" i="18"/>
  <c r="K102" i="18" l="1"/>
  <c r="L102" i="18" s="1"/>
  <c r="H104" i="18"/>
  <c r="E104" i="18"/>
  <c r="G103" i="18"/>
  <c r="F103" i="18"/>
  <c r="D105" i="18"/>
  <c r="M104" i="18"/>
  <c r="N103" i="18"/>
  <c r="K103" i="18" l="1"/>
  <c r="L103" i="18" s="1"/>
  <c r="H105" i="18"/>
  <c r="E105" i="18"/>
  <c r="G104" i="18"/>
  <c r="F104" i="18"/>
  <c r="D106" i="18"/>
  <c r="N104" i="18"/>
  <c r="M105" i="18"/>
  <c r="K104" i="18" l="1"/>
  <c r="L104" i="18" s="1"/>
  <c r="H106" i="18"/>
  <c r="E106" i="18"/>
  <c r="G105" i="18"/>
  <c r="F105" i="18"/>
  <c r="D107" i="18"/>
  <c r="N105" i="18"/>
  <c r="M106" i="18"/>
  <c r="K105" i="18" l="1"/>
  <c r="L105" i="18" s="1"/>
  <c r="H107" i="18"/>
  <c r="E107" i="18"/>
  <c r="G106" i="18"/>
  <c r="F106" i="18"/>
  <c r="D108" i="18"/>
  <c r="M107" i="18"/>
  <c r="N106" i="18"/>
  <c r="K106" i="18" l="1"/>
  <c r="L106" i="18" s="1"/>
  <c r="H108" i="18"/>
  <c r="E108" i="18"/>
  <c r="G107" i="18"/>
  <c r="F107" i="18"/>
  <c r="D109" i="18"/>
  <c r="N107" i="18"/>
  <c r="M108" i="18"/>
  <c r="K107" i="18" l="1"/>
  <c r="L107" i="18" s="1"/>
  <c r="H109" i="18"/>
  <c r="E109" i="18"/>
  <c r="G108" i="18"/>
  <c r="F108" i="18"/>
  <c r="D110" i="18"/>
  <c r="N108" i="18"/>
  <c r="M109" i="18"/>
  <c r="K108" i="18" l="1"/>
  <c r="L108" i="18" s="1"/>
  <c r="H110" i="18"/>
  <c r="E110" i="18"/>
  <c r="G109" i="18"/>
  <c r="F109" i="18"/>
  <c r="D111" i="18"/>
  <c r="N109" i="18"/>
  <c r="M110" i="18"/>
  <c r="K109" i="18" l="1"/>
  <c r="L109" i="18" s="1"/>
  <c r="H111" i="18"/>
  <c r="E111" i="18"/>
  <c r="G110" i="18"/>
  <c r="F110" i="18"/>
  <c r="D112" i="18"/>
  <c r="N110" i="18"/>
  <c r="M111" i="18"/>
  <c r="K110" i="18" l="1"/>
  <c r="L110" i="18" s="1"/>
  <c r="H112" i="18"/>
  <c r="E112" i="18"/>
  <c r="G111" i="18"/>
  <c r="F111" i="18"/>
  <c r="D113" i="18"/>
  <c r="N111" i="18"/>
  <c r="M112" i="18"/>
  <c r="K111" i="18" l="1"/>
  <c r="L111" i="18" s="1"/>
  <c r="H113" i="18"/>
  <c r="E113" i="18"/>
  <c r="G112" i="18"/>
  <c r="F112" i="18"/>
  <c r="D114" i="18"/>
  <c r="N112" i="18"/>
  <c r="M113" i="18"/>
  <c r="K112" i="18" l="1"/>
  <c r="L112" i="18" s="1"/>
  <c r="H114" i="18"/>
  <c r="E114" i="18"/>
  <c r="G113" i="18"/>
  <c r="F113" i="18"/>
  <c r="D115" i="18"/>
  <c r="N113" i="18"/>
  <c r="M114" i="18"/>
  <c r="K113" i="18" l="1"/>
  <c r="L113" i="18" s="1"/>
  <c r="H115" i="18"/>
  <c r="E115" i="18"/>
  <c r="G114" i="18"/>
  <c r="F114" i="18"/>
  <c r="D116" i="18"/>
  <c r="N114" i="18"/>
  <c r="M115" i="18"/>
  <c r="K114" i="18" l="1"/>
  <c r="L114" i="18" s="1"/>
  <c r="H116" i="18"/>
  <c r="E116" i="18"/>
  <c r="G115" i="18"/>
  <c r="F115" i="18"/>
  <c r="D117" i="18"/>
  <c r="N115" i="18"/>
  <c r="M116" i="18"/>
  <c r="K115" i="18" l="1"/>
  <c r="L115" i="18" s="1"/>
  <c r="H117" i="18"/>
  <c r="E117" i="18"/>
  <c r="G116" i="18"/>
  <c r="F116" i="18"/>
  <c r="D118" i="18"/>
  <c r="N116" i="18"/>
  <c r="M117" i="18"/>
  <c r="K116" i="18" l="1"/>
  <c r="L116" i="18" s="1"/>
  <c r="H118" i="18"/>
  <c r="E118" i="18"/>
  <c r="G117" i="18"/>
  <c r="F117" i="18"/>
  <c r="D119" i="18"/>
  <c r="N117" i="18"/>
  <c r="M118" i="18"/>
  <c r="K117" i="18" l="1"/>
  <c r="L117" i="18" s="1"/>
  <c r="H119" i="18"/>
  <c r="E119" i="18"/>
  <c r="G118" i="18"/>
  <c r="F118" i="18"/>
  <c r="D120" i="18"/>
  <c r="N118" i="18"/>
  <c r="M119" i="18"/>
  <c r="K118" i="18" l="1"/>
  <c r="L118" i="18" s="1"/>
  <c r="H120" i="18"/>
  <c r="E120" i="18"/>
  <c r="G120" i="18" s="1"/>
  <c r="G119" i="18"/>
  <c r="F119" i="18"/>
  <c r="N119" i="18"/>
  <c r="M120" i="18"/>
  <c r="K119" i="18" l="1"/>
  <c r="L119" i="18" s="1"/>
  <c r="F120" i="18"/>
  <c r="K120" i="18" s="1"/>
  <c r="L120" i="18" s="1"/>
  <c r="N120" i="18"/>
  <c r="N5" i="18" s="1"/>
  <c r="J11" i="16" s="1"/>
  <c r="J12" i="16" s="1"/>
  <c r="J13" i="16" s="1"/>
  <c r="J14" i="16" s="1"/>
  <c r="M5" i="18"/>
  <c r="J15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Granholm Camilla, PLet</author>
  </authors>
  <commentList>
    <comment ref="F11" authorId="0" shapeId="0" xr:uid="{227C98F7-457F-46F6-A430-04B2846F4DB5}">
      <text>
        <r>
          <rPr>
            <sz val="9"/>
            <color indexed="81"/>
            <rFont val="Tahoma"/>
            <family val="2"/>
          </rPr>
          <t>Index finns inlagt i denna fil fram till och med prisnivå 2023-03. För kostnadskalkyler framtagna i en senare prisnivå måste index läggas in manuellt i cell F13.</t>
        </r>
      </text>
    </comment>
  </commentList>
</comments>
</file>

<file path=xl/sharedStrings.xml><?xml version="1.0" encoding="utf-8"?>
<sst xmlns="http://schemas.openxmlformats.org/spreadsheetml/2006/main" count="156" uniqueCount="130">
  <si>
    <t>Diskonteringsår</t>
  </si>
  <si>
    <t>Diskonterings- faktor</t>
  </si>
  <si>
    <t>RESULTAT</t>
  </si>
  <si>
    <t>Diskonteringsränta</t>
  </si>
  <si>
    <t>Totalnytta</t>
  </si>
  <si>
    <t>DoU-kostnad, årlig</t>
  </si>
  <si>
    <t>Nettonuvärde</t>
  </si>
  <si>
    <t>INDATA</t>
  </si>
  <si>
    <t>Basår för priser (Prisnivå)</t>
  </si>
  <si>
    <t>BERÄKNINGAR</t>
  </si>
  <si>
    <t>Total nytta odiskonterat</t>
  </si>
  <si>
    <t>DoU-kostnad</t>
  </si>
  <si>
    <t>DIAGRAM</t>
  </si>
  <si>
    <t>Trafik-tillväxtfaktor</t>
  </si>
  <si>
    <t>Real uppräkningsfaktor</t>
  </si>
  <si>
    <t>Kalkylperiod (antal år)</t>
  </si>
  <si>
    <t>NNK</t>
  </si>
  <si>
    <t>Tot</t>
  </si>
  <si>
    <t>Prognosår 1</t>
  </si>
  <si>
    <t>Prognosår 2</t>
  </si>
  <si>
    <t>NUK</t>
  </si>
  <si>
    <t>Skattefinansieringsfaktor</t>
  </si>
  <si>
    <t>Diskonteringsverktyg</t>
  </si>
  <si>
    <t>Kalkyl Diskonteringsverktyg</t>
  </si>
  <si>
    <t>Byggstartår</t>
  </si>
  <si>
    <t>Nytta 1, odiskonterat</t>
  </si>
  <si>
    <t>Nytta 2, odiskonterat</t>
  </si>
  <si>
    <t>Nytta 3, odiskonterat</t>
  </si>
  <si>
    <t>Nytta 4, odiskonterat</t>
  </si>
  <si>
    <t>Nytta 5,  odiskonterat</t>
  </si>
  <si>
    <t>Total nytta diskonterat</t>
  </si>
  <si>
    <t>Total nytta odiskonterad</t>
  </si>
  <si>
    <t>Total nytta diskonterad</t>
  </si>
  <si>
    <t>Nyttorna avser real prisnivå år</t>
  </si>
  <si>
    <t>Nyttorna avser trafik år</t>
  </si>
  <si>
    <t>Investeringskostnad</t>
  </si>
  <si>
    <t>Skattefinansieringskostnad</t>
  </si>
  <si>
    <t>Drift- och underhållskostnad</t>
  </si>
  <si>
    <t>Trafikslag</t>
  </si>
  <si>
    <t>1 % tillväxt anges som 1,01</t>
  </si>
  <si>
    <t>0,5 % tillväxt anges som 1,005</t>
  </si>
  <si>
    <t>Vanligtvis 60 år</t>
  </si>
  <si>
    <t>Normalt anges nyttorna för basåret (2019) eller för prognosår 1 (2045), men valfritt värde kan anges</t>
  </si>
  <si>
    <t>Real uppräkning av nyttor (årlig faktor)</t>
  </si>
  <si>
    <t>Uppräkning drift och underhåll (årlig faktor)</t>
  </si>
  <si>
    <t>Årlig trafikutv fram till prognosår 1 (faktor)</t>
  </si>
  <si>
    <t>Startår kalkyl (byggstartår + antal byggår)</t>
  </si>
  <si>
    <t>Årlig trafikutv mellan prognosår 1 och 2 (faktor)</t>
  </si>
  <si>
    <t>Antal enheter</t>
  </si>
  <si>
    <t xml:space="preserve">Antal enheter </t>
  </si>
  <si>
    <t>Real uppräkning (Ja/Nej)</t>
  </si>
  <si>
    <t>Ja</t>
  </si>
  <si>
    <t>Uppräkning trafik (Ja/Nej)</t>
  </si>
  <si>
    <t>Nej</t>
  </si>
  <si>
    <t xml:space="preserve">Nytta 1, per enhet </t>
  </si>
  <si>
    <t xml:space="preserve">Nytta 2, per enhet </t>
  </si>
  <si>
    <t xml:space="preserve">Nytta 3, per enhet </t>
  </si>
  <si>
    <t xml:space="preserve">Nytta 4, per enhet </t>
  </si>
  <si>
    <t>Nytta 5, per enhet</t>
  </si>
  <si>
    <t>Invkostnad, diskonterad</t>
  </si>
  <si>
    <t>DOU- kostnad</t>
  </si>
  <si>
    <t>DoU-kost. Diskonerad</t>
  </si>
  <si>
    <t>Indexomräkning av kostnad</t>
  </si>
  <si>
    <r>
      <t>Kostnad från anläggningskostnadskalkyl räknas om från kostnadskalkylens prisnivå till planprisnivå</t>
    </r>
    <r>
      <rPr>
        <sz val="1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2023-06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med Infrastrukturindex (väg eller bana).</t>
    </r>
  </si>
  <si>
    <r>
      <t>Därefter räknas kostnaden i planprisniv</t>
    </r>
    <r>
      <rPr>
        <sz val="10"/>
        <rFont val="Calibri"/>
        <family val="2"/>
        <scheme val="minor"/>
      </rPr>
      <t>å (2023-06</t>
    </r>
    <r>
      <rPr>
        <sz val="10"/>
        <color theme="1"/>
        <rFont val="Calibri"/>
        <family val="2"/>
        <scheme val="minor"/>
      </rPr>
      <t>) om till samhällsekonomisk investeringskostnad</t>
    </r>
    <r>
      <rPr>
        <sz val="10"/>
        <rFont val="Calibri"/>
        <family val="2"/>
        <scheme val="minor"/>
      </rPr>
      <t xml:space="preserve"> (penningvärde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2019-medel</t>
    </r>
    <r>
      <rPr>
        <sz val="10"/>
        <color theme="1"/>
        <rFont val="Calibri"/>
        <family val="2"/>
        <scheme val="minor"/>
      </rPr>
      <t>) enligt ASEK med KPI och investeringskostnadsindex.</t>
    </r>
  </si>
  <si>
    <t>Indexomräkning av kostnad i successiv kostnadskalkyl till planprisnivå</t>
  </si>
  <si>
    <t>Kvalitetssäkrad anläggningskostnadskalkyl (Bilaga 2 i SEB):</t>
  </si>
  <si>
    <t>Prisnivå enligt anläggningskostnadskalkyl, på formen 20ÅÅ-MM:</t>
  </si>
  <si>
    <t>Investeringsindex banhållning, väghållning eller sjöfart:</t>
  </si>
  <si>
    <t>Investeringsindex för prisnivå i anläggningskostnadskalkyl:</t>
  </si>
  <si>
    <r>
      <t>Investeringsindex för prisnivå</t>
    </r>
    <r>
      <rPr>
        <sz val="10"/>
        <rFont val="Calibri"/>
        <family val="2"/>
        <scheme val="minor"/>
      </rPr>
      <t xml:space="preserve"> 2023-06</t>
    </r>
  </si>
  <si>
    <r>
      <t xml:space="preserve">Kostnad i planprisnivå </t>
    </r>
    <r>
      <rPr>
        <sz val="10"/>
        <rFont val="Calibri"/>
        <family val="2"/>
        <scheme val="minor"/>
      </rPr>
      <t>2023-06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- resultat</t>
    </r>
  </si>
  <si>
    <t>Indexomräkning av kostnad från planprisnivå till 2019-års penningvärde</t>
  </si>
  <si>
    <t>Kostnad i planprisnivå</t>
  </si>
  <si>
    <r>
      <t xml:space="preserve">KPI för </t>
    </r>
    <r>
      <rPr>
        <sz val="10"/>
        <rFont val="Calibri"/>
        <family val="2"/>
        <scheme val="minor"/>
      </rPr>
      <t>2023-06</t>
    </r>
  </si>
  <si>
    <t>KPI för 2019-årsmedel</t>
  </si>
  <si>
    <t xml:space="preserve"> Kostnad i penningvärde 2019 - resultat</t>
  </si>
  <si>
    <t>Omräkning av investeringskostnad till 2019-års prisnivå och penningvärde</t>
  </si>
  <si>
    <t>Antal år mellan planprisnivå och 2019</t>
  </si>
  <si>
    <t>Kostnad i penningvärde 2019 - resultat</t>
  </si>
  <si>
    <t>Real ökning årsvis</t>
  </si>
  <si>
    <t>Investeringskostnadschablon 2023-06 -2019 medel</t>
  </si>
  <si>
    <t>Kostnad i penningvärde och prisnivå 2019 - resultat</t>
  </si>
  <si>
    <t xml:space="preserve">Kostnad i prisnivå för byggstartår (2028) i 2019 års penningvärde  </t>
  </si>
  <si>
    <t xml:space="preserve">SAMMANSTÄLLNING AV KOSTNADER </t>
  </si>
  <si>
    <t>Penningvärde</t>
  </si>
  <si>
    <t>KOSTNAD</t>
  </si>
  <si>
    <r>
      <rPr>
        <b/>
        <sz val="10"/>
        <color theme="1"/>
        <rFont val="Calibri"/>
        <family val="2"/>
        <scheme val="minor"/>
      </rPr>
      <t>Anläggningskostnad</t>
    </r>
    <r>
      <rPr>
        <sz val="10"/>
        <color theme="1"/>
        <rFont val="Calibri"/>
        <family val="2"/>
        <scheme val="minor"/>
      </rPr>
      <t xml:space="preserve">     ( SEB Flik 1, rubrik "Åtgärdskostnad")</t>
    </r>
  </si>
  <si>
    <r>
      <rPr>
        <b/>
        <sz val="10"/>
        <color theme="1"/>
        <rFont val="Calibri"/>
        <family val="2"/>
        <scheme val="minor"/>
      </rPr>
      <t>Kostnad i planprisniv</t>
    </r>
    <r>
      <rPr>
        <b/>
        <sz val="10"/>
        <rFont val="Calibri"/>
        <family val="2"/>
        <scheme val="minor"/>
      </rPr>
      <t>å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     (SEB Flik 1, rubrik "Åtgärdskostnad")</t>
    </r>
  </si>
  <si>
    <t>2023-06</t>
  </si>
  <si>
    <r>
      <rPr>
        <b/>
        <sz val="10"/>
        <rFont val="Calibri"/>
        <family val="2"/>
        <scheme val="minor"/>
      </rPr>
      <t xml:space="preserve">Omräknad investeringskostnad 2019 års penningvärde  </t>
    </r>
    <r>
      <rPr>
        <sz val="10"/>
        <rFont val="Calibri"/>
        <family val="2"/>
        <scheme val="minor"/>
      </rPr>
      <t xml:space="preserve">                                             (Input till verktyg)</t>
    </r>
  </si>
  <si>
    <t>2019 medel</t>
  </si>
  <si>
    <t>Nuvärde av investeringskostnad</t>
  </si>
  <si>
    <t>Du som användare sätter endast antal byggår sedan fördelas investeringskostnaden från flik "Indexomräkning kostnad" över byggåren och omräknas till diskonteringsåret enligt principer i ASEK.</t>
  </si>
  <si>
    <t xml:space="preserve">Nuvärdeformel: </t>
  </si>
  <si>
    <t>y/(1+r)^n</t>
  </si>
  <si>
    <t>Diskonteringsränta:</t>
  </si>
  <si>
    <t>ASEK 8.0</t>
  </si>
  <si>
    <t>Diskonteringsår:</t>
  </si>
  <si>
    <t xml:space="preserve">Antal byggår: </t>
  </si>
  <si>
    <t>År</t>
  </si>
  <si>
    <t>Investeringskostnad inklusive uppräkning, penningvärde 2019</t>
  </si>
  <si>
    <t>Uppräkning av investeringskostnad</t>
  </si>
  <si>
    <t>Nuvärde av investerings- kostnad</t>
  </si>
  <si>
    <t>Totalt</t>
  </si>
  <si>
    <t>1990=100</t>
  </si>
  <si>
    <t>Investerings-index banhållning</t>
  </si>
  <si>
    <t>Investerings-index väghållning</t>
  </si>
  <si>
    <t>Investerings-index sjöfart Bas-tidpunkt juni 2009=100</t>
  </si>
  <si>
    <t>NPI (används ej i denna version)
KPI-KS</t>
  </si>
  <si>
    <t>väg</t>
  </si>
  <si>
    <t>järnväg</t>
  </si>
  <si>
    <t>Uppräkningsfaktor                         investeringsindex väghållning</t>
  </si>
  <si>
    <t>Uppräkningsfaktor                         investeringsindex banhållning</t>
  </si>
  <si>
    <t>Uppräkningsfaktorer- Sjöfart</t>
  </si>
  <si>
    <t>Kanalindex</t>
  </si>
  <si>
    <t>NPI har upphört, ersätts med KPI-KS</t>
  </si>
  <si>
    <t>Totalkostnad</t>
  </si>
  <si>
    <t>Prisnivå (20ÅÅ-MM)</t>
  </si>
  <si>
    <t>Antal byggår (max 10)</t>
  </si>
  <si>
    <t>Kalkylspecifika förutsättningar</t>
  </si>
  <si>
    <t>Årligt återkommande nytta</t>
  </si>
  <si>
    <t xml:space="preserve">Generella kalkylförutsättningar </t>
  </si>
  <si>
    <t>Index finns till och med 2026-01</t>
  </si>
  <si>
    <t>KPI</t>
  </si>
  <si>
    <t>Max byggtid 10 år</t>
  </si>
  <si>
    <t>2026-01</t>
  </si>
  <si>
    <t>Om investeringskostnad och antal byggår anges nedan räknas detta ut automatiskt.</t>
  </si>
  <si>
    <t>Kan vara antal personer, timmar, fordon, antal olyckor etc (men givetvis överensstämma med inmatat ovan)</t>
  </si>
  <si>
    <t>Kan vara t.ex. kalkylvärde per person, timme, fordon, antal olyckor etc (kan även vara negativt, anges isf med negativt tecken)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</si>
</sst>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\ _k_r_-;\-* #,##0\ _k_r_-;_-* &quot;-&quot;\ _k_r_-;_-@_-"/>
    <numFmt numFmtId="165" formatCode="#,##0;[Red]&quot;-&quot;#,##0"/>
    <numFmt numFmtId="166" formatCode="#,##0\ &quot;$&quot;;[Red]\-#,##0\ &quot;$&quot;"/>
    <numFmt numFmtId="167" formatCode="0.000"/>
    <numFmt numFmtId="168" formatCode="#,##0.000"/>
    <numFmt numFmtId="169" formatCode="0.0"/>
    <numFmt numFmtId="170" formatCode="#,##0.0"/>
    <numFmt numFmtId="171" formatCode="mmmm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Times New Roman"/>
      <family val="1"/>
    </font>
    <font>
      <b/>
      <sz val="8"/>
      <name val="Arial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sz val="12"/>
      <name val="Helv"/>
    </font>
    <font>
      <i/>
      <sz val="10"/>
      <name val="Arial"/>
      <family val="2"/>
    </font>
    <font>
      <b/>
      <sz val="22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u/>
      <sz val="10"/>
      <color theme="10"/>
      <name val="Arial"/>
    </font>
    <font>
      <sz val="7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1"/>
      <name val="Tahoma"/>
      <family val="2"/>
    </font>
    <font>
      <b/>
      <sz val="12"/>
      <color theme="0"/>
      <name val="Calibri"/>
      <family val="2"/>
    </font>
    <font>
      <b/>
      <sz val="12"/>
      <color theme="0"/>
      <name val="Calibri"/>
      <family val="2"/>
      <scheme val="minor"/>
    </font>
    <font>
      <sz val="12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FFFF"/>
        <bgColor indexed="64"/>
      </patternFill>
    </fill>
    <fill>
      <patternFill patternType="solid">
        <fgColor rgb="FFFFFF8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00000"/>
        <bgColor indexed="64"/>
      </patternFill>
    </fill>
  </fills>
  <borders count="5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249977111117893"/>
      </bottom>
      <diagonal/>
    </border>
    <border>
      <left/>
      <right style="thin">
        <color theme="6" tint="0.59999389629810485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theme="0" tint="-0.249977111117893"/>
      </top>
      <bottom/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165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10">
      <alignment horizontal="left"/>
    </xf>
    <xf numFmtId="166" fontId="10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90">
    <xf numFmtId="0" fontId="0" fillId="0" borderId="0" xfId="0"/>
    <xf numFmtId="0" fontId="0" fillId="0" borderId="0" xfId="0" applyBorder="1"/>
    <xf numFmtId="0" fontId="5" fillId="0" borderId="0" xfId="0" applyFont="1" applyBorder="1"/>
    <xf numFmtId="0" fontId="6" fillId="0" borderId="0" xfId="0" applyFont="1" applyBorder="1"/>
    <xf numFmtId="3" fontId="5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vertical="top"/>
    </xf>
    <xf numFmtId="0" fontId="2" fillId="0" borderId="0" xfId="0" applyFont="1" applyBorder="1"/>
    <xf numFmtId="167" fontId="3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vertical="top" wrapText="1"/>
    </xf>
    <xf numFmtId="0" fontId="0" fillId="6" borderId="3" xfId="0" applyFill="1" applyBorder="1"/>
    <xf numFmtId="0" fontId="0" fillId="6" borderId="5" xfId="0" applyFill="1" applyBorder="1"/>
    <xf numFmtId="0" fontId="0" fillId="6" borderId="2" xfId="0" applyFill="1" applyBorder="1"/>
    <xf numFmtId="0" fontId="5" fillId="6" borderId="0" xfId="0" applyFont="1" applyFill="1" applyBorder="1"/>
    <xf numFmtId="0" fontId="2" fillId="6" borderId="1" xfId="0" applyFont="1" applyFill="1" applyBorder="1"/>
    <xf numFmtId="0" fontId="0" fillId="6" borderId="7" xfId="0" applyFill="1" applyBorder="1"/>
    <xf numFmtId="0" fontId="0" fillId="6" borderId="1" xfId="0" applyFill="1" applyBorder="1"/>
    <xf numFmtId="0" fontId="0" fillId="6" borderId="6" xfId="0" applyFill="1" applyBorder="1"/>
    <xf numFmtId="0" fontId="0" fillId="6" borderId="0" xfId="0" applyFill="1" applyBorder="1"/>
    <xf numFmtId="3" fontId="2" fillId="0" borderId="11" xfId="0" applyNumberFormat="1" applyFont="1" applyFill="1" applyBorder="1" applyProtection="1">
      <protection locked="0"/>
    </xf>
    <xf numFmtId="168" fontId="4" fillId="3" borderId="0" xfId="0" applyNumberFormat="1" applyFont="1" applyFill="1" applyBorder="1" applyAlignment="1">
      <alignment horizontal="right"/>
    </xf>
    <xf numFmtId="168" fontId="8" fillId="3" borderId="0" xfId="0" applyNumberFormat="1" applyFont="1" applyFill="1" applyBorder="1" applyAlignment="1">
      <alignment horizontal="right"/>
    </xf>
    <xf numFmtId="4" fontId="4" fillId="3" borderId="0" xfId="0" applyNumberFormat="1" applyFont="1" applyFill="1" applyBorder="1" applyAlignment="1">
      <alignment horizontal="right"/>
    </xf>
    <xf numFmtId="0" fontId="2" fillId="0" borderId="0" xfId="0" applyFont="1"/>
    <xf numFmtId="14" fontId="9" fillId="0" borderId="0" xfId="2" applyNumberFormat="1" applyFont="1" applyFill="1"/>
    <xf numFmtId="0" fontId="2" fillId="0" borderId="0" xfId="2" applyFont="1" applyFill="1" applyAlignment="1">
      <alignment horizontal="right"/>
    </xf>
    <xf numFmtId="0" fontId="13" fillId="0" borderId="0" xfId="0" applyFont="1" applyAlignment="1">
      <alignment vertical="center"/>
    </xf>
    <xf numFmtId="0" fontId="5" fillId="5" borderId="12" xfId="0" applyFont="1" applyFill="1" applyBorder="1" applyAlignment="1">
      <alignment vertical="top" wrapText="1"/>
    </xf>
    <xf numFmtId="0" fontId="2" fillId="0" borderId="0" xfId="0" applyFont="1" applyAlignment="1">
      <alignment horizontal="center"/>
    </xf>
    <xf numFmtId="4" fontId="4" fillId="3" borderId="1" xfId="0" applyNumberFormat="1" applyFont="1" applyFill="1" applyBorder="1" applyAlignment="1">
      <alignment horizontal="right"/>
    </xf>
    <xf numFmtId="0" fontId="2" fillId="5" borderId="11" xfId="0" applyFont="1" applyFill="1" applyBorder="1"/>
    <xf numFmtId="168" fontId="8" fillId="3" borderId="8" xfId="0" applyNumberFormat="1" applyFont="1" applyFill="1" applyBorder="1" applyAlignment="1">
      <alignment horizontal="right"/>
    </xf>
    <xf numFmtId="168" fontId="4" fillId="3" borderId="8" xfId="0" applyNumberFormat="1" applyFont="1" applyFill="1" applyBorder="1" applyAlignment="1">
      <alignment horizontal="right"/>
    </xf>
    <xf numFmtId="0" fontId="2" fillId="5" borderId="14" xfId="0" applyFont="1" applyFill="1" applyBorder="1"/>
    <xf numFmtId="0" fontId="2" fillId="5" borderId="15" xfId="0" applyFont="1" applyFill="1" applyBorder="1"/>
    <xf numFmtId="0" fontId="0" fillId="8" borderId="3" xfId="0" applyFill="1" applyBorder="1"/>
    <xf numFmtId="0" fontId="6" fillId="8" borderId="4" xfId="0" applyFont="1" applyFill="1" applyBorder="1"/>
    <xf numFmtId="0" fontId="0" fillId="8" borderId="4" xfId="0" applyFill="1" applyBorder="1"/>
    <xf numFmtId="0" fontId="0" fillId="8" borderId="5" xfId="0" applyFill="1" applyBorder="1"/>
    <xf numFmtId="0" fontId="0" fillId="8" borderId="2" xfId="0" applyFill="1" applyBorder="1"/>
    <xf numFmtId="0" fontId="0" fillId="8" borderId="0" xfId="0" applyFill="1" applyBorder="1"/>
    <xf numFmtId="0" fontId="0" fillId="8" borderId="1" xfId="0" applyFill="1" applyBorder="1"/>
    <xf numFmtId="0" fontId="5" fillId="8" borderId="9" xfId="0" applyFont="1" applyFill="1" applyBorder="1"/>
    <xf numFmtId="3" fontId="5" fillId="8" borderId="9" xfId="0" applyNumberFormat="1" applyFont="1" applyFill="1" applyBorder="1"/>
    <xf numFmtId="0" fontId="5" fillId="8" borderId="9" xfId="0" applyFont="1" applyFill="1" applyBorder="1" applyAlignment="1">
      <alignment horizontal="center"/>
    </xf>
    <xf numFmtId="0" fontId="5" fillId="8" borderId="0" xfId="0" applyFont="1" applyFill="1" applyBorder="1"/>
    <xf numFmtId="0" fontId="5" fillId="8" borderId="0" xfId="0" applyFont="1" applyFill="1" applyBorder="1" applyAlignment="1">
      <alignment horizontal="center"/>
    </xf>
    <xf numFmtId="0" fontId="5" fillId="8" borderId="9" xfId="0" applyFont="1" applyFill="1" applyBorder="1" applyAlignment="1"/>
    <xf numFmtId="0" fontId="0" fillId="8" borderId="9" xfId="0" applyFill="1" applyBorder="1" applyAlignment="1"/>
    <xf numFmtId="2" fontId="5" fillId="8" borderId="9" xfId="0" applyNumberFormat="1" applyFont="1" applyFill="1" applyBorder="1"/>
    <xf numFmtId="0" fontId="0" fillId="8" borderId="7" xfId="0" applyFill="1" applyBorder="1"/>
    <xf numFmtId="0" fontId="5" fillId="8" borderId="8" xfId="0" applyFont="1" applyFill="1" applyBorder="1" applyAlignment="1"/>
    <xf numFmtId="2" fontId="5" fillId="8" borderId="8" xfId="0" applyNumberFormat="1" applyFont="1" applyFill="1" applyBorder="1"/>
    <xf numFmtId="0" fontId="5" fillId="8" borderId="8" xfId="0" applyFont="1" applyFill="1" applyBorder="1"/>
    <xf numFmtId="0" fontId="0" fillId="8" borderId="6" xfId="0" applyFill="1" applyBorder="1"/>
    <xf numFmtId="0" fontId="5" fillId="8" borderId="9" xfId="0" applyFont="1" applyFill="1" applyBorder="1" applyAlignment="1">
      <alignment wrapText="1"/>
    </xf>
    <xf numFmtId="0" fontId="0" fillId="0" borderId="0" xfId="0" applyBorder="1" applyAlignment="1">
      <alignment wrapText="1"/>
    </xf>
    <xf numFmtId="3" fontId="5" fillId="8" borderId="0" xfId="0" applyNumberFormat="1" applyFont="1" applyFill="1" applyBorder="1"/>
    <xf numFmtId="0" fontId="0" fillId="4" borderId="0" xfId="0" applyFill="1" applyBorder="1"/>
    <xf numFmtId="0" fontId="5" fillId="4" borderId="0" xfId="0" applyFont="1" applyFill="1" applyBorder="1" applyAlignment="1">
      <alignment vertical="top" wrapText="1"/>
    </xf>
    <xf numFmtId="0" fontId="2" fillId="5" borderId="16" xfId="0" applyFont="1" applyFill="1" applyBorder="1"/>
    <xf numFmtId="0" fontId="2" fillId="3" borderId="17" xfId="0" applyFont="1" applyFill="1" applyBorder="1" applyProtection="1">
      <protection locked="0"/>
    </xf>
    <xf numFmtId="0" fontId="2" fillId="3" borderId="18" xfId="0" applyFont="1" applyFill="1" applyBorder="1" applyProtection="1">
      <protection locked="0"/>
    </xf>
    <xf numFmtId="0" fontId="7" fillId="4" borderId="0" xfId="0" applyFont="1" applyFill="1" applyBorder="1"/>
    <xf numFmtId="0" fontId="0" fillId="7" borderId="0" xfId="0" applyFill="1"/>
    <xf numFmtId="168" fontId="8" fillId="0" borderId="0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4" fontId="4" fillId="3" borderId="8" xfId="0" applyNumberFormat="1" applyFont="1" applyFill="1" applyBorder="1" applyAlignment="1">
      <alignment horizontal="right"/>
    </xf>
    <xf numFmtId="4" fontId="4" fillId="3" borderId="6" xfId="0" applyNumberFormat="1" applyFont="1" applyFill="1" applyBorder="1" applyAlignment="1">
      <alignment horizontal="right"/>
    </xf>
    <xf numFmtId="0" fontId="2" fillId="5" borderId="12" xfId="0" applyFont="1" applyFill="1" applyBorder="1" applyAlignment="1">
      <alignment horizontal="left"/>
    </xf>
    <xf numFmtId="0" fontId="14" fillId="0" borderId="0" xfId="0" applyFont="1" applyBorder="1"/>
    <xf numFmtId="0" fontId="2" fillId="3" borderId="19" xfId="0" applyFont="1" applyFill="1" applyBorder="1" applyProtection="1"/>
    <xf numFmtId="0" fontId="6" fillId="0" borderId="0" xfId="0" applyFont="1" applyBorder="1" applyAlignment="1">
      <alignment horizontal="left" vertical="center"/>
    </xf>
    <xf numFmtId="168" fontId="8" fillId="3" borderId="4" xfId="0" applyNumberFormat="1" applyFont="1" applyFill="1" applyBorder="1" applyAlignment="1">
      <alignment horizontal="right"/>
    </xf>
    <xf numFmtId="168" fontId="4" fillId="3" borderId="4" xfId="0" applyNumberFormat="1" applyFont="1" applyFill="1" applyBorder="1" applyAlignment="1">
      <alignment horizontal="right"/>
    </xf>
    <xf numFmtId="4" fontId="4" fillId="3" borderId="4" xfId="0" applyNumberFormat="1" applyFont="1" applyFill="1" applyBorder="1" applyAlignment="1">
      <alignment horizontal="right"/>
    </xf>
    <xf numFmtId="4" fontId="4" fillId="3" borderId="5" xfId="0" applyNumberFormat="1" applyFont="1" applyFill="1" applyBorder="1" applyAlignment="1">
      <alignment horizontal="right"/>
    </xf>
    <xf numFmtId="0" fontId="15" fillId="0" borderId="0" xfId="0" applyFont="1" applyBorder="1" applyAlignment="1">
      <alignment horizontal="center"/>
    </xf>
    <xf numFmtId="2" fontId="15" fillId="0" borderId="0" xfId="0" applyNumberFormat="1" applyFont="1" applyBorder="1"/>
    <xf numFmtId="0" fontId="14" fillId="0" borderId="0" xfId="0" applyFont="1" applyFill="1" applyBorder="1"/>
    <xf numFmtId="0" fontId="17" fillId="0" borderId="0" xfId="0" applyFont="1" applyBorder="1"/>
    <xf numFmtId="0" fontId="18" fillId="0" borderId="0" xfId="0" applyFont="1" applyBorder="1"/>
    <xf numFmtId="0" fontId="17" fillId="0" borderId="0" xfId="0" applyFont="1" applyFill="1" applyBorder="1"/>
    <xf numFmtId="168" fontId="8" fillId="7" borderId="0" xfId="0" applyNumberFormat="1" applyFont="1" applyFill="1" applyBorder="1" applyAlignment="1">
      <alignment horizontal="right"/>
    </xf>
    <xf numFmtId="168" fontId="4" fillId="7" borderId="0" xfId="0" applyNumberFormat="1" applyFont="1" applyFill="1" applyBorder="1" applyAlignment="1">
      <alignment horizontal="right"/>
    </xf>
    <xf numFmtId="4" fontId="4" fillId="7" borderId="0" xfId="0" applyNumberFormat="1" applyFont="1" applyFill="1" applyBorder="1" applyAlignment="1">
      <alignment horizontal="right"/>
    </xf>
    <xf numFmtId="4" fontId="4" fillId="7" borderId="1" xfId="0" applyNumberFormat="1" applyFont="1" applyFill="1" applyBorder="1" applyAlignment="1">
      <alignment horizontal="right"/>
    </xf>
    <xf numFmtId="1" fontId="8" fillId="2" borderId="0" xfId="0" applyNumberFormat="1" applyFont="1" applyFill="1" applyBorder="1" applyAlignment="1">
      <alignment horizontal="right"/>
    </xf>
    <xf numFmtId="0" fontId="8" fillId="2" borderId="4" xfId="0" applyFont="1" applyFill="1" applyBorder="1" applyAlignment="1">
      <alignment horizontal="right"/>
    </xf>
    <xf numFmtId="1" fontId="8" fillId="2" borderId="4" xfId="0" applyNumberFormat="1" applyFont="1" applyFill="1" applyBorder="1" applyAlignment="1">
      <alignment horizontal="right"/>
    </xf>
    <xf numFmtId="4" fontId="8" fillId="2" borderId="4" xfId="0" applyNumberFormat="1" applyFont="1" applyFill="1" applyBorder="1" applyAlignment="1">
      <alignment horizontal="right"/>
    </xf>
    <xf numFmtId="3" fontId="8" fillId="2" borderId="4" xfId="0" applyNumberFormat="1" applyFont="1" applyFill="1" applyBorder="1" applyAlignment="1">
      <alignment horizontal="right"/>
    </xf>
    <xf numFmtId="3" fontId="8" fillId="2" borderId="5" xfId="0" applyNumberFormat="1" applyFont="1" applyFill="1" applyBorder="1" applyAlignment="1">
      <alignment horizontal="right"/>
    </xf>
    <xf numFmtId="1" fontId="8" fillId="2" borderId="8" xfId="0" applyNumberFormat="1" applyFont="1" applyFill="1" applyBorder="1" applyAlignment="1">
      <alignment horizontal="right"/>
    </xf>
    <xf numFmtId="1" fontId="8" fillId="7" borderId="0" xfId="0" applyNumberFormat="1" applyFont="1" applyFill="1" applyBorder="1" applyAlignment="1">
      <alignment horizontal="right"/>
    </xf>
    <xf numFmtId="0" fontId="8" fillId="2" borderId="23" xfId="0" applyFont="1" applyFill="1" applyBorder="1" applyAlignment="1">
      <alignment horizontal="right" wrapText="1"/>
    </xf>
    <xf numFmtId="1" fontId="8" fillId="2" borderId="22" xfId="0" applyNumberFormat="1" applyFont="1" applyFill="1" applyBorder="1" applyAlignment="1">
      <alignment horizontal="right"/>
    </xf>
    <xf numFmtId="1" fontId="8" fillId="7" borderId="22" xfId="0" applyNumberFormat="1" applyFont="1" applyFill="1" applyBorder="1" applyAlignment="1">
      <alignment horizontal="right"/>
    </xf>
    <xf numFmtId="1" fontId="8" fillId="2" borderId="12" xfId="0" applyNumberFormat="1" applyFont="1" applyFill="1" applyBorder="1" applyAlignment="1">
      <alignment horizontal="right"/>
    </xf>
    <xf numFmtId="0" fontId="2" fillId="0" borderId="12" xfId="0" applyFont="1" applyFill="1" applyBorder="1" applyProtection="1">
      <protection locked="0"/>
    </xf>
    <xf numFmtId="0" fontId="2" fillId="5" borderId="22" xfId="0" applyFont="1" applyFill="1" applyBorder="1" applyAlignment="1">
      <alignment wrapText="1"/>
    </xf>
    <xf numFmtId="0" fontId="2" fillId="5" borderId="12" xfId="0" applyFont="1" applyFill="1" applyBorder="1" applyAlignment="1">
      <alignment wrapText="1"/>
    </xf>
    <xf numFmtId="0" fontId="2" fillId="5" borderId="7" xfId="0" applyFont="1" applyFill="1" applyBorder="1" applyAlignment="1">
      <alignment wrapText="1"/>
    </xf>
    <xf numFmtId="0" fontId="20" fillId="0" borderId="0" xfId="0" applyFont="1"/>
    <xf numFmtId="0" fontId="20" fillId="0" borderId="3" xfId="0" applyFont="1" applyBorder="1"/>
    <xf numFmtId="0" fontId="20" fillId="0" borderId="4" xfId="0" applyFont="1" applyBorder="1"/>
    <xf numFmtId="0" fontId="20" fillId="0" borderId="5" xfId="0" applyFont="1" applyBorder="1"/>
    <xf numFmtId="0" fontId="20" fillId="0" borderId="2" xfId="0" applyFont="1" applyBorder="1"/>
    <xf numFmtId="0" fontId="20" fillId="0" borderId="1" xfId="0" applyFont="1" applyBorder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0" fillId="0" borderId="0" xfId="0" applyAlignment="1">
      <alignment wrapText="1"/>
    </xf>
    <xf numFmtId="0" fontId="19" fillId="0" borderId="0" xfId="0" applyFont="1"/>
    <xf numFmtId="0" fontId="25" fillId="13" borderId="3" xfId="0" applyFont="1" applyFill="1" applyBorder="1"/>
    <xf numFmtId="0" fontId="20" fillId="13" borderId="4" xfId="0" applyFont="1" applyFill="1" applyBorder="1"/>
    <xf numFmtId="0" fontId="20" fillId="13" borderId="4" xfId="0" applyFont="1" applyFill="1" applyBorder="1" applyAlignment="1">
      <alignment horizontal="right"/>
    </xf>
    <xf numFmtId="0" fontId="20" fillId="13" borderId="2" xfId="0" applyFont="1" applyFill="1" applyBorder="1"/>
    <xf numFmtId="0" fontId="20" fillId="13" borderId="0" xfId="0" applyFont="1" applyFill="1"/>
    <xf numFmtId="0" fontId="20" fillId="13" borderId="0" xfId="0" applyFont="1" applyFill="1" applyAlignment="1">
      <alignment horizontal="right"/>
    </xf>
    <xf numFmtId="0" fontId="25" fillId="4" borderId="25" xfId="0" applyFont="1" applyFill="1" applyBorder="1" applyAlignment="1" applyProtection="1">
      <alignment horizontal="center" vertical="center"/>
      <protection locked="0"/>
    </xf>
    <xf numFmtId="0" fontId="25" fillId="13" borderId="2" xfId="0" applyFont="1" applyFill="1" applyBorder="1"/>
    <xf numFmtId="169" fontId="25" fillId="6" borderId="25" xfId="0" applyNumberFormat="1" applyFont="1" applyFill="1" applyBorder="1" applyAlignment="1" applyProtection="1">
      <alignment horizontal="center" vertical="center"/>
      <protection locked="0"/>
    </xf>
    <xf numFmtId="0" fontId="20" fillId="13" borderId="7" xfId="0" applyFont="1" applyFill="1" applyBorder="1"/>
    <xf numFmtId="0" fontId="20" fillId="13" borderId="8" xfId="0" applyFont="1" applyFill="1" applyBorder="1"/>
    <xf numFmtId="0" fontId="20" fillId="13" borderId="8" xfId="0" applyFont="1" applyFill="1" applyBorder="1" applyAlignment="1">
      <alignment horizontal="right"/>
    </xf>
    <xf numFmtId="169" fontId="25" fillId="13" borderId="26" xfId="0" applyNumberFormat="1" applyFont="1" applyFill="1" applyBorder="1" applyAlignment="1">
      <alignment horizontal="center" vertical="center"/>
    </xf>
    <xf numFmtId="169" fontId="25" fillId="14" borderId="11" xfId="0" applyNumberFormat="1" applyFont="1" applyFill="1" applyBorder="1" applyAlignment="1">
      <alignment horizontal="center" vertical="center"/>
    </xf>
    <xf numFmtId="49" fontId="20" fillId="0" borderId="0" xfId="0" applyNumberFormat="1" applyFont="1"/>
    <xf numFmtId="0" fontId="27" fillId="0" borderId="0" xfId="0" applyFont="1"/>
    <xf numFmtId="0" fontId="20" fillId="13" borderId="3" xfId="0" applyFont="1" applyFill="1" applyBorder="1"/>
    <xf numFmtId="169" fontId="25" fillId="6" borderId="23" xfId="0" applyNumberFormat="1" applyFont="1" applyFill="1" applyBorder="1" applyAlignment="1">
      <alignment horizontal="center" vertical="center"/>
    </xf>
    <xf numFmtId="169" fontId="25" fillId="13" borderId="25" xfId="0" applyNumberFormat="1" applyFont="1" applyFill="1" applyBorder="1" applyAlignment="1">
      <alignment horizontal="center" vertical="center"/>
    </xf>
    <xf numFmtId="0" fontId="25" fillId="13" borderId="7" xfId="0" applyFont="1" applyFill="1" applyBorder="1"/>
    <xf numFmtId="169" fontId="25" fillId="15" borderId="12" xfId="0" applyNumberFormat="1" applyFont="1" applyFill="1" applyBorder="1" applyAlignment="1">
      <alignment horizontal="center" vertical="center"/>
    </xf>
    <xf numFmtId="0" fontId="22" fillId="13" borderId="4" xfId="0" applyFont="1" applyFill="1" applyBorder="1"/>
    <xf numFmtId="2" fontId="20" fillId="13" borderId="17" xfId="0" applyNumberFormat="1" applyFont="1" applyFill="1" applyBorder="1" applyAlignment="1">
      <alignment horizontal="center"/>
    </xf>
    <xf numFmtId="2" fontId="25" fillId="6" borderId="13" xfId="0" applyNumberFormat="1" applyFont="1" applyFill="1" applyBorder="1" applyAlignment="1">
      <alignment horizontal="center" vertical="center"/>
    </xf>
    <xf numFmtId="2" fontId="25" fillId="6" borderId="25" xfId="0" applyNumberFormat="1" applyFont="1" applyFill="1" applyBorder="1" applyAlignment="1">
      <alignment horizontal="center" vertical="center"/>
    </xf>
    <xf numFmtId="0" fontId="25" fillId="13" borderId="27" xfId="0" applyFont="1" applyFill="1" applyBorder="1"/>
    <xf numFmtId="169" fontId="25" fillId="6" borderId="20" xfId="0" applyNumberFormat="1" applyFont="1" applyFill="1" applyBorder="1" applyAlignment="1">
      <alignment horizontal="center" vertical="center"/>
    </xf>
    <xf numFmtId="169" fontId="20" fillId="6" borderId="28" xfId="0" applyNumberFormat="1" applyFont="1" applyFill="1" applyBorder="1" applyAlignment="1">
      <alignment horizontal="center"/>
    </xf>
    <xf numFmtId="169" fontId="25" fillId="4" borderId="29" xfId="0" applyNumberFormat="1" applyFont="1" applyFill="1" applyBorder="1" applyAlignment="1">
      <alignment horizontal="center" vertical="center"/>
    </xf>
    <xf numFmtId="0" fontId="25" fillId="4" borderId="0" xfId="0" applyFont="1" applyFill="1"/>
    <xf numFmtId="0" fontId="20" fillId="4" borderId="0" xfId="0" applyFont="1" applyFill="1"/>
    <xf numFmtId="0" fontId="20" fillId="4" borderId="0" xfId="0" applyFont="1" applyFill="1" applyAlignment="1">
      <alignment horizontal="right"/>
    </xf>
    <xf numFmtId="169" fontId="25" fillId="4" borderId="24" xfId="0" applyNumberFormat="1" applyFont="1" applyFill="1" applyBorder="1" applyAlignment="1">
      <alignment horizontal="center" vertical="center"/>
    </xf>
    <xf numFmtId="0" fontId="28" fillId="0" borderId="0" xfId="0" applyFont="1"/>
    <xf numFmtId="0" fontId="20" fillId="0" borderId="24" xfId="0" applyFont="1" applyBorder="1"/>
    <xf numFmtId="0" fontId="20" fillId="13" borderId="30" xfId="0" applyFont="1" applyFill="1" applyBorder="1"/>
    <xf numFmtId="0" fontId="20" fillId="13" borderId="31" xfId="0" applyFont="1" applyFill="1" applyBorder="1"/>
    <xf numFmtId="0" fontId="22" fillId="13" borderId="31" xfId="0" applyFont="1" applyFill="1" applyBorder="1" applyAlignment="1">
      <alignment horizontal="center" vertical="center"/>
    </xf>
    <xf numFmtId="0" fontId="22" fillId="13" borderId="32" xfId="0" applyFont="1" applyFill="1" applyBorder="1" applyAlignment="1">
      <alignment horizontal="center" vertical="center" wrapText="1"/>
    </xf>
    <xf numFmtId="0" fontId="20" fillId="13" borderId="33" xfId="0" applyFont="1" applyFill="1" applyBorder="1" applyAlignment="1">
      <alignment vertical="center" wrapText="1"/>
    </xf>
    <xf numFmtId="0" fontId="20" fillId="13" borderId="34" xfId="0" applyFont="1" applyFill="1" applyBorder="1" applyAlignment="1">
      <alignment wrapText="1"/>
    </xf>
    <xf numFmtId="0" fontId="20" fillId="13" borderId="35" xfId="0" applyFont="1" applyFill="1" applyBorder="1" applyAlignment="1">
      <alignment horizontal="center"/>
    </xf>
    <xf numFmtId="169" fontId="28" fillId="14" borderId="36" xfId="0" applyNumberFormat="1" applyFont="1" applyFill="1" applyBorder="1" applyAlignment="1">
      <alignment horizontal="center"/>
    </xf>
    <xf numFmtId="0" fontId="20" fillId="13" borderId="37" xfId="0" applyFont="1" applyFill="1" applyBorder="1" applyAlignment="1">
      <alignment horizontal="left" wrapText="1"/>
    </xf>
    <xf numFmtId="0" fontId="20" fillId="13" borderId="38" xfId="0" applyFont="1" applyFill="1" applyBorder="1"/>
    <xf numFmtId="49" fontId="20" fillId="13" borderId="20" xfId="0" applyNumberFormat="1" applyFont="1" applyFill="1" applyBorder="1" applyAlignment="1">
      <alignment horizontal="center"/>
    </xf>
    <xf numFmtId="169" fontId="28" fillId="14" borderId="21" xfId="0" applyNumberFormat="1" applyFont="1" applyFill="1" applyBorder="1" applyAlignment="1">
      <alignment horizontal="center"/>
    </xf>
    <xf numFmtId="0" fontId="25" fillId="13" borderId="7" xfId="0" applyFont="1" applyFill="1" applyBorder="1" applyAlignment="1">
      <alignment wrapText="1"/>
    </xf>
    <xf numFmtId="0" fontId="25" fillId="13" borderId="28" xfId="0" applyFont="1" applyFill="1" applyBorder="1" applyAlignment="1">
      <alignment horizontal="center"/>
    </xf>
    <xf numFmtId="167" fontId="22" fillId="14" borderId="6" xfId="0" applyNumberFormat="1" applyFont="1" applyFill="1" applyBorder="1" applyAlignment="1">
      <alignment horizontal="center"/>
    </xf>
    <xf numFmtId="0" fontId="20" fillId="0" borderId="7" xfId="0" applyFont="1" applyBorder="1"/>
    <xf numFmtId="0" fontId="20" fillId="0" borderId="8" xfId="0" applyFont="1" applyBorder="1"/>
    <xf numFmtId="0" fontId="20" fillId="0" borderId="6" xfId="0" applyFont="1" applyBorder="1"/>
    <xf numFmtId="0" fontId="20" fillId="13" borderId="5" xfId="0" applyFont="1" applyFill="1" applyBorder="1"/>
    <xf numFmtId="0" fontId="25" fillId="13" borderId="1" xfId="0" applyFont="1" applyFill="1" applyBorder="1" applyAlignment="1">
      <alignment horizontal="right"/>
    </xf>
    <xf numFmtId="0" fontId="26" fillId="0" borderId="1" xfId="0" applyFont="1" applyBorder="1"/>
    <xf numFmtId="0" fontId="25" fillId="13" borderId="0" xfId="0" applyFont="1" applyFill="1" applyAlignment="1">
      <alignment horizontal="right"/>
    </xf>
    <xf numFmtId="0" fontId="26" fillId="0" borderId="0" xfId="0" applyFont="1"/>
    <xf numFmtId="0" fontId="25" fillId="13" borderId="6" xfId="0" applyFont="1" applyFill="1" applyBorder="1" applyAlignment="1">
      <alignment horizontal="right"/>
    </xf>
    <xf numFmtId="0" fontId="22" fillId="13" borderId="3" xfId="0" applyFont="1" applyFill="1" applyBorder="1" applyAlignment="1">
      <alignment horizontal="center"/>
    </xf>
    <xf numFmtId="0" fontId="22" fillId="13" borderId="4" xfId="0" applyFont="1" applyFill="1" applyBorder="1" applyAlignment="1">
      <alignment horizontal="right" wrapText="1"/>
    </xf>
    <xf numFmtId="0" fontId="22" fillId="13" borderId="5" xfId="0" applyFont="1" applyFill="1" applyBorder="1" applyAlignment="1">
      <alignment horizontal="right" wrapText="1"/>
    </xf>
    <xf numFmtId="0" fontId="26" fillId="0" borderId="2" xfId="0" applyFont="1" applyBorder="1"/>
    <xf numFmtId="0" fontId="26" fillId="13" borderId="2" xfId="0" applyFont="1" applyFill="1" applyBorder="1" applyAlignment="1">
      <alignment horizontal="center"/>
    </xf>
    <xf numFmtId="169" fontId="25" fillId="6" borderId="39" xfId="0" applyNumberFormat="1" applyFont="1" applyFill="1" applyBorder="1" applyAlignment="1">
      <alignment horizontal="right"/>
    </xf>
    <xf numFmtId="169" fontId="22" fillId="6" borderId="40" xfId="0" applyNumberFormat="1" applyFont="1" applyFill="1" applyBorder="1" applyAlignment="1">
      <alignment horizontal="right"/>
    </xf>
    <xf numFmtId="169" fontId="20" fillId="6" borderId="20" xfId="0" applyNumberFormat="1" applyFont="1" applyFill="1" applyBorder="1"/>
    <xf numFmtId="169" fontId="20" fillId="0" borderId="0" xfId="0" applyNumberFormat="1" applyFont="1"/>
    <xf numFmtId="0" fontId="22" fillId="13" borderId="37" xfId="0" applyFont="1" applyFill="1" applyBorder="1" applyAlignment="1">
      <alignment wrapText="1"/>
    </xf>
    <xf numFmtId="169" fontId="20" fillId="13" borderId="41" xfId="0" applyNumberFormat="1" applyFont="1" applyFill="1" applyBorder="1" applyAlignment="1">
      <alignment horizontal="right" wrapText="1"/>
    </xf>
    <xf numFmtId="169" fontId="20" fillId="13" borderId="13" xfId="0" applyNumberFormat="1" applyFont="1" applyFill="1" applyBorder="1" applyAlignment="1">
      <alignment horizontal="right"/>
    </xf>
    <xf numFmtId="169" fontId="22" fillId="14" borderId="42" xfId="0" applyNumberFormat="1" applyFont="1" applyFill="1" applyBorder="1"/>
    <xf numFmtId="0" fontId="19" fillId="0" borderId="43" xfId="0" applyFont="1" applyBorder="1" applyAlignment="1">
      <alignment horizontal="center" vertical="top" wrapText="1"/>
    </xf>
    <xf numFmtId="169" fontId="19" fillId="0" borderId="43" xfId="0" applyNumberFormat="1" applyFont="1" applyBorder="1" applyAlignment="1">
      <alignment horizontal="center" vertical="top" wrapText="1"/>
    </xf>
    <xf numFmtId="170" fontId="19" fillId="0" borderId="43" xfId="0" applyNumberFormat="1" applyFont="1" applyBorder="1" applyAlignment="1">
      <alignment horizontal="center" vertical="center" wrapText="1"/>
    </xf>
    <xf numFmtId="0" fontId="19" fillId="0" borderId="44" xfId="0" applyFont="1" applyBorder="1"/>
    <xf numFmtId="171" fontId="19" fillId="0" borderId="44" xfId="0" applyNumberFormat="1" applyFont="1" applyBorder="1" applyAlignment="1">
      <alignment horizontal="left"/>
    </xf>
    <xf numFmtId="170" fontId="0" fillId="0" borderId="43" xfId="0" applyNumberFormat="1" applyBorder="1" applyAlignment="1">
      <alignment horizontal="center"/>
    </xf>
    <xf numFmtId="169" fontId="0" fillId="0" borderId="43" xfId="0" applyNumberFormat="1" applyBorder="1" applyAlignment="1">
      <alignment horizontal="center" wrapText="1"/>
    </xf>
    <xf numFmtId="170" fontId="0" fillId="0" borderId="43" xfId="0" applyNumberFormat="1" applyBorder="1" applyAlignment="1">
      <alignment horizontal="center" wrapText="1"/>
    </xf>
    <xf numFmtId="0" fontId="31" fillId="16" borderId="30" xfId="0" applyFont="1" applyFill="1" applyBorder="1" applyAlignment="1">
      <alignment horizontal="center" vertical="center"/>
    </xf>
    <xf numFmtId="0" fontId="19" fillId="0" borderId="27" xfId="0" applyFont="1" applyBorder="1"/>
    <xf numFmtId="171" fontId="19" fillId="0" borderId="27" xfId="0" applyNumberFormat="1" applyFont="1" applyBorder="1" applyAlignment="1">
      <alignment horizontal="left"/>
    </xf>
    <xf numFmtId="170" fontId="0" fillId="0" borderId="29" xfId="0" applyNumberFormat="1" applyBorder="1" applyAlignment="1">
      <alignment horizontal="center"/>
    </xf>
    <xf numFmtId="169" fontId="0" fillId="0" borderId="29" xfId="0" applyNumberFormat="1" applyBorder="1" applyAlignment="1">
      <alignment horizontal="center"/>
    </xf>
    <xf numFmtId="170" fontId="0" fillId="0" borderId="29" xfId="0" applyNumberFormat="1" applyBorder="1" applyAlignment="1">
      <alignment horizontal="center" wrapText="1"/>
    </xf>
    <xf numFmtId="169" fontId="30" fillId="16" borderId="2" xfId="0" applyNumberFormat="1" applyFont="1" applyFill="1" applyBorder="1" applyAlignment="1">
      <alignment horizontal="center" vertical="center" wrapText="1"/>
    </xf>
    <xf numFmtId="167" fontId="32" fillId="4" borderId="31" xfId="0" applyNumberFormat="1" applyFont="1" applyFill="1" applyBorder="1" applyAlignment="1">
      <alignment horizontal="center" vertical="center" wrapText="1"/>
    </xf>
    <xf numFmtId="0" fontId="19" fillId="0" borderId="40" xfId="0" applyFont="1" applyBorder="1"/>
    <xf numFmtId="171" fontId="19" fillId="0" borderId="40" xfId="0" applyNumberFormat="1" applyFont="1" applyBorder="1" applyAlignment="1">
      <alignment horizontal="left"/>
    </xf>
    <xf numFmtId="170" fontId="0" fillId="0" borderId="39" xfId="0" applyNumberFormat="1" applyBorder="1" applyAlignment="1">
      <alignment horizontal="center"/>
    </xf>
    <xf numFmtId="169" fontId="0" fillId="0" borderId="39" xfId="0" applyNumberFormat="1" applyBorder="1" applyAlignment="1">
      <alignment horizontal="center"/>
    </xf>
    <xf numFmtId="170" fontId="0" fillId="0" borderId="39" xfId="0" applyNumberFormat="1" applyBorder="1" applyAlignment="1">
      <alignment horizontal="center" wrapText="1"/>
    </xf>
    <xf numFmtId="169" fontId="0" fillId="0" borderId="43" xfId="0" applyNumberFormat="1" applyBorder="1" applyAlignment="1">
      <alignment horizontal="center"/>
    </xf>
    <xf numFmtId="169" fontId="22" fillId="0" borderId="0" xfId="0" applyNumberFormat="1" applyFont="1"/>
    <xf numFmtId="170" fontId="0" fillId="0" borderId="0" xfId="0" applyNumberFormat="1"/>
    <xf numFmtId="0" fontId="0" fillId="0" borderId="27" xfId="0" applyBorder="1" applyAlignment="1">
      <alignment horizontal="center"/>
    </xf>
    <xf numFmtId="169" fontId="0" fillId="0" borderId="27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169" fontId="0" fillId="0" borderId="0" xfId="0" applyNumberFormat="1"/>
    <xf numFmtId="49" fontId="19" fillId="0" borderId="0" xfId="0" applyNumberFormat="1" applyFont="1"/>
    <xf numFmtId="171" fontId="0" fillId="0" borderId="0" xfId="0" applyNumberFormat="1"/>
    <xf numFmtId="171" fontId="19" fillId="0" borderId="39" xfId="0" applyNumberFormat="1" applyFont="1" applyBorder="1" applyAlignment="1">
      <alignment horizontal="left"/>
    </xf>
    <xf numFmtId="171" fontId="19" fillId="0" borderId="43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171" fontId="19" fillId="0" borderId="29" xfId="0" applyNumberFormat="1" applyFont="1" applyBorder="1" applyAlignment="1">
      <alignment horizontal="left"/>
    </xf>
    <xf numFmtId="170" fontId="0" fillId="0" borderId="0" xfId="0" applyNumberFormat="1" applyAlignment="1">
      <alignment horizontal="center" wrapText="1"/>
    </xf>
    <xf numFmtId="2" fontId="0" fillId="0" borderId="29" xfId="0" applyNumberFormat="1" applyBorder="1" applyAlignment="1">
      <alignment horizontal="center" vertical="center"/>
    </xf>
    <xf numFmtId="2" fontId="0" fillId="0" borderId="29" xfId="0" applyNumberFormat="1" applyBorder="1" applyAlignment="1">
      <alignment horizontal="center"/>
    </xf>
    <xf numFmtId="169" fontId="22" fillId="0" borderId="0" xfId="0" applyNumberFormat="1" applyFont="1" applyAlignment="1">
      <alignment horizontal="right"/>
    </xf>
    <xf numFmtId="2" fontId="0" fillId="0" borderId="20" xfId="0" applyNumberFormat="1" applyBorder="1" applyAlignment="1">
      <alignment horizontal="center"/>
    </xf>
    <xf numFmtId="2" fontId="0" fillId="0" borderId="18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/>
    </xf>
    <xf numFmtId="2" fontId="0" fillId="0" borderId="19" xfId="0" applyNumberFormat="1" applyBorder="1" applyAlignment="1">
      <alignment horizontal="center" vertical="center"/>
    </xf>
    <xf numFmtId="2" fontId="0" fillId="0" borderId="35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0" fontId="16" fillId="0" borderId="0" xfId="7" applyBorder="1"/>
    <xf numFmtId="0" fontId="0" fillId="0" borderId="46" xfId="0" applyBorder="1"/>
    <xf numFmtId="0" fontId="2" fillId="5" borderId="47" xfId="0" applyFont="1" applyFill="1" applyBorder="1" applyAlignment="1">
      <alignment horizontal="left"/>
    </xf>
    <xf numFmtId="0" fontId="2" fillId="5" borderId="48" xfId="0" applyFont="1" applyFill="1" applyBorder="1" applyAlignment="1">
      <alignment wrapText="1"/>
    </xf>
    <xf numFmtId="0" fontId="2" fillId="5" borderId="48" xfId="0" applyFont="1" applyFill="1" applyBorder="1" applyAlignment="1">
      <alignment horizontal="left"/>
    </xf>
    <xf numFmtId="0" fontId="5" fillId="6" borderId="47" xfId="0" applyFont="1" applyFill="1" applyBorder="1"/>
    <xf numFmtId="0" fontId="2" fillId="0" borderId="48" xfId="0" applyFont="1" applyFill="1" applyBorder="1" applyProtection="1">
      <protection locked="0"/>
    </xf>
    <xf numFmtId="0" fontId="2" fillId="0" borderId="47" xfId="0" applyFont="1" applyFill="1" applyBorder="1" applyProtection="1">
      <protection locked="0"/>
    </xf>
    <xf numFmtId="0" fontId="2" fillId="0" borderId="48" xfId="0" applyFont="1" applyFill="1" applyBorder="1" applyAlignment="1" applyProtection="1">
      <alignment horizontal="right"/>
      <protection locked="0"/>
    </xf>
    <xf numFmtId="0" fontId="2" fillId="0" borderId="48" xfId="0" applyNumberFormat="1" applyFont="1" applyFill="1" applyBorder="1" applyProtection="1">
      <protection locked="0"/>
    </xf>
    <xf numFmtId="0" fontId="2" fillId="0" borderId="47" xfId="0" applyNumberFormat="1" applyFont="1" applyFill="1" applyBorder="1" applyProtection="1">
      <protection locked="0"/>
    </xf>
    <xf numFmtId="0" fontId="2" fillId="0" borderId="49" xfId="0" applyFont="1" applyFill="1" applyBorder="1" applyProtection="1">
      <protection locked="0"/>
    </xf>
    <xf numFmtId="0" fontId="2" fillId="0" borderId="48" xfId="0" applyFont="1" applyBorder="1" applyAlignment="1">
      <alignment horizontal="right"/>
    </xf>
    <xf numFmtId="0" fontId="12" fillId="0" borderId="0" xfId="0" applyFont="1" applyFill="1" applyBorder="1"/>
    <xf numFmtId="0" fontId="5" fillId="0" borderId="0" xfId="0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 applyProtection="1">
      <protection locked="0"/>
    </xf>
    <xf numFmtId="0" fontId="12" fillId="0" borderId="0" xfId="0" applyFont="1" applyFill="1" applyBorder="1" applyAlignment="1">
      <alignment horizontal="center"/>
    </xf>
    <xf numFmtId="3" fontId="12" fillId="0" borderId="0" xfId="0" applyNumberFormat="1" applyFont="1" applyFill="1" applyBorder="1" applyProtection="1">
      <protection locked="0"/>
    </xf>
    <xf numFmtId="0" fontId="5" fillId="6" borderId="8" xfId="0" applyFont="1" applyFill="1" applyBorder="1"/>
    <xf numFmtId="0" fontId="5" fillId="6" borderId="50" xfId="0" applyFont="1" applyFill="1" applyBorder="1"/>
    <xf numFmtId="3" fontId="2" fillId="0" borderId="48" xfId="0" applyNumberFormat="1" applyFont="1" applyFill="1" applyBorder="1" applyProtection="1">
      <protection locked="0"/>
    </xf>
    <xf numFmtId="1" fontId="2" fillId="0" borderId="48" xfId="0" applyNumberFormat="1" applyFont="1" applyFill="1" applyBorder="1" applyProtection="1">
      <protection locked="0"/>
    </xf>
    <xf numFmtId="49" fontId="2" fillId="0" borderId="6" xfId="0" applyNumberFormat="1" applyFont="1" applyBorder="1" applyAlignment="1">
      <alignment horizontal="right"/>
    </xf>
    <xf numFmtId="3" fontId="25" fillId="4" borderId="23" xfId="0" applyNumberFormat="1" applyFont="1" applyFill="1" applyBorder="1" applyAlignment="1" applyProtection="1">
      <alignment horizontal="center" vertical="center"/>
      <protection locked="0"/>
    </xf>
    <xf numFmtId="2" fontId="25" fillId="4" borderId="25" xfId="0" applyNumberFormat="1" applyFont="1" applyFill="1" applyBorder="1" applyAlignment="1" applyProtection="1">
      <alignment horizontal="center" vertical="center"/>
      <protection locked="0"/>
    </xf>
    <xf numFmtId="1" fontId="25" fillId="0" borderId="8" xfId="0" applyNumberFormat="1" applyFont="1" applyBorder="1" applyAlignment="1" applyProtection="1">
      <alignment horizontal="right"/>
      <protection locked="0"/>
    </xf>
    <xf numFmtId="2" fontId="19" fillId="0" borderId="18" xfId="0" applyNumberFormat="1" applyFont="1" applyBorder="1" applyAlignment="1">
      <alignment horizontal="center"/>
    </xf>
    <xf numFmtId="2" fontId="19" fillId="0" borderId="14" xfId="0" applyNumberFormat="1" applyFont="1" applyBorder="1" applyAlignment="1">
      <alignment horizontal="center"/>
    </xf>
    <xf numFmtId="2" fontId="19" fillId="0" borderId="15" xfId="0" applyNumberFormat="1" applyFont="1" applyBorder="1" applyAlignment="1">
      <alignment horizontal="center"/>
    </xf>
    <xf numFmtId="2" fontId="19" fillId="0" borderId="19" xfId="0" applyNumberFormat="1" applyFont="1" applyBorder="1" applyAlignment="1">
      <alignment horizontal="center"/>
    </xf>
    <xf numFmtId="169" fontId="18" fillId="0" borderId="0" xfId="0" applyNumberFormat="1" applyFont="1"/>
    <xf numFmtId="0" fontId="8" fillId="0" borderId="43" xfId="0" applyFont="1" applyBorder="1" applyAlignment="1">
      <alignment horizontal="center"/>
    </xf>
    <xf numFmtId="0" fontId="8" fillId="9" borderId="44" xfId="0" applyFont="1" applyFill="1" applyBorder="1" applyAlignment="1">
      <alignment horizontal="center"/>
    </xf>
    <xf numFmtId="0" fontId="8" fillId="9" borderId="51" xfId="0" applyFont="1" applyFill="1" applyBorder="1" applyAlignment="1">
      <alignment horizontal="center" wrapText="1"/>
    </xf>
    <xf numFmtId="0" fontId="8" fillId="9" borderId="51" xfId="0" applyFont="1" applyFill="1" applyBorder="1" applyAlignment="1" applyProtection="1">
      <alignment wrapText="1"/>
    </xf>
    <xf numFmtId="0" fontId="8" fillId="10" borderId="51" xfId="0" applyFont="1" applyFill="1" applyBorder="1" applyAlignment="1">
      <alignment horizontal="center" wrapText="1"/>
    </xf>
    <xf numFmtId="0" fontId="8" fillId="11" borderId="51" xfId="0" applyFont="1" applyFill="1" applyBorder="1" applyAlignment="1">
      <alignment horizontal="center" wrapText="1"/>
    </xf>
    <xf numFmtId="0" fontId="8" fillId="11" borderId="52" xfId="0" applyFont="1" applyFill="1" applyBorder="1" applyAlignment="1">
      <alignment horizontal="center" wrapText="1"/>
    </xf>
    <xf numFmtId="0" fontId="6" fillId="6" borderId="3" xfId="0" applyFont="1" applyFill="1" applyBorder="1"/>
    <xf numFmtId="0" fontId="5" fillId="6" borderId="7" xfId="0" applyFont="1" applyFill="1" applyBorder="1"/>
    <xf numFmtId="0" fontId="2" fillId="6" borderId="6" xfId="0" applyFont="1" applyFill="1" applyBorder="1"/>
    <xf numFmtId="1" fontId="2" fillId="3" borderId="18" xfId="0" applyNumberFormat="1" applyFont="1" applyFill="1" applyBorder="1" applyProtection="1">
      <protection locked="0"/>
    </xf>
    <xf numFmtId="0" fontId="2" fillId="0" borderId="53" xfId="0" applyFont="1" applyBorder="1" applyAlignment="1">
      <alignment horizontal="right"/>
    </xf>
    <xf numFmtId="3" fontId="5" fillId="5" borderId="11" xfId="0" applyNumberFormat="1" applyFont="1" applyFill="1" applyBorder="1" applyAlignment="1">
      <alignment vertical="top" wrapText="1"/>
    </xf>
    <xf numFmtId="0" fontId="21" fillId="0" borderId="0" xfId="0" applyFont="1" applyAlignment="1">
      <alignment horizontal="left" vertical="top" wrapText="1"/>
    </xf>
    <xf numFmtId="0" fontId="20" fillId="12" borderId="0" xfId="0" applyFont="1" applyFill="1" applyAlignment="1">
      <alignment horizontal="left" wrapText="1"/>
    </xf>
    <xf numFmtId="0" fontId="25" fillId="13" borderId="2" xfId="0" applyFont="1" applyFill="1" applyBorder="1" applyAlignment="1">
      <alignment horizontal="left"/>
    </xf>
    <xf numFmtId="0" fontId="25" fillId="13" borderId="0" xfId="0" applyFont="1" applyFill="1" applyAlignment="1">
      <alignment horizontal="left"/>
    </xf>
    <xf numFmtId="0" fontId="25" fillId="13" borderId="1" xfId="0" applyFont="1" applyFill="1" applyBorder="1" applyAlignment="1">
      <alignment horizontal="left"/>
    </xf>
    <xf numFmtId="0" fontId="21" fillId="0" borderId="2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1" xfId="0" applyFont="1" applyBorder="1" applyAlignment="1">
      <alignment horizontal="center"/>
    </xf>
    <xf numFmtId="0" fontId="25" fillId="12" borderId="0" xfId="0" applyFont="1" applyFill="1" applyAlignment="1">
      <alignment horizontal="left" vertical="center" wrapText="1"/>
    </xf>
    <xf numFmtId="0" fontId="20" fillId="12" borderId="0" xfId="0" applyFont="1" applyFill="1" applyAlignment="1">
      <alignment horizontal="left" vertical="center" wrapText="1"/>
    </xf>
    <xf numFmtId="169" fontId="30" fillId="16" borderId="4" xfId="0" applyNumberFormat="1" applyFont="1" applyFill="1" applyBorder="1" applyAlignment="1">
      <alignment horizontal="center" vertical="center" wrapText="1"/>
    </xf>
    <xf numFmtId="169" fontId="30" fillId="16" borderId="41" xfId="0" applyNumberFormat="1" applyFont="1" applyFill="1" applyBorder="1" applyAlignment="1">
      <alignment horizontal="center" vertical="center" wrapText="1"/>
    </xf>
    <xf numFmtId="169" fontId="30" fillId="16" borderId="3" xfId="0" applyNumberFormat="1" applyFont="1" applyFill="1" applyBorder="1" applyAlignment="1">
      <alignment horizontal="center" vertical="center" wrapText="1"/>
    </xf>
    <xf numFmtId="169" fontId="30" fillId="16" borderId="7" xfId="0" applyNumberFormat="1" applyFont="1" applyFill="1" applyBorder="1" applyAlignment="1">
      <alignment horizontal="center" vertical="center" wrapText="1"/>
    </xf>
  </cellXfs>
  <cellStyles count="8">
    <cellStyle name="Hyperlänk" xfId="7" builtinId="8"/>
    <cellStyle name="Komma (0)" xfId="3" xr:uid="{00000000-0005-0000-0000-000000000000}"/>
    <cellStyle name="Normal" xfId="0" builtinId="0"/>
    <cellStyle name="Normal 2" xfId="2" xr:uid="{00000000-0005-0000-0000-000002000000}"/>
    <cellStyle name="Procent 2" xfId="4" xr:uid="{00000000-0005-0000-0000-000003000000}"/>
    <cellStyle name="STIL1 - Odefin" xfId="5" xr:uid="{00000000-0005-0000-0000-000004000000}"/>
    <cellStyle name="Tusental (0)_2015P_utrapp" xfId="1" xr:uid="{00000000-0005-0000-0000-000005000000}"/>
    <cellStyle name="Valuta (0)" xfId="6" xr:uid="{00000000-0005-0000-0000-000006000000}"/>
  </cellStyles>
  <dxfs count="0"/>
  <tableStyles count="0" defaultTableStyle="TableStyleMedium9" defaultPivotStyle="PivotStyleLight16"/>
  <colors>
    <mruColors>
      <color rgb="FFFFFF99"/>
      <color rgb="FFFFFF8F"/>
      <color rgb="FFDDFFFF"/>
      <color rgb="FF00FFFF"/>
      <color rgb="FFFFCC00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Årlig nytta (totalnytta), ODISKONTERAD</a:t>
            </a:r>
          </a:p>
        </c:rich>
      </c:tx>
      <c:layout>
        <c:manualLayout>
          <c:xMode val="edge"/>
          <c:yMode val="edge"/>
          <c:x val="0.24523903637003"/>
          <c:y val="3.21588503235473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8397949035215667E-2"/>
          <c:y val="0.11991434689507495"/>
          <c:w val="0.88397949035215662"/>
          <c:h val="0.72116076000165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Beräkningar!$K$4</c:f>
              <c:strCache>
                <c:ptCount val="1"/>
                <c:pt idx="0">
                  <c:v>Total nytta odiskonterat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numRef>
              <c:f>Beräkningar!$A$6:$A$65</c:f>
              <c:numCache>
                <c:formatCode>0</c:formatCode>
                <c:ptCount val="6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</c:numCache>
            </c:numRef>
          </c:cat>
          <c:val>
            <c:numRef>
              <c:f>Beräkningar!$K$6:$K$65</c:f>
              <c:numCache>
                <c:formatCode>#,##0.00</c:formatCode>
                <c:ptCount val="60"/>
                <c:pt idx="0">
                  <c:v>6061.1544712472469</c:v>
                </c:pt>
                <c:pt idx="1">
                  <c:v>6192.1663251432565</c:v>
                </c:pt>
                <c:pt idx="2">
                  <c:v>6326.0100002612262</c:v>
                </c:pt>
                <c:pt idx="3">
                  <c:v>6462.7467064168741</c:v>
                </c:pt>
                <c:pt idx="4">
                  <c:v>6602.4389764760754</c:v>
                </c:pt>
                <c:pt idx="5">
                  <c:v>6745.1506949526065</c:v>
                </c:pt>
                <c:pt idx="6">
                  <c:v>6890.9471272240062</c:v>
                </c:pt>
                <c:pt idx="7">
                  <c:v>7039.8949493789569</c:v>
                </c:pt>
                <c:pt idx="8">
                  <c:v>7192.0622787097836</c:v>
                </c:pt>
                <c:pt idx="9">
                  <c:v>7347.5187048640964</c:v>
                </c:pt>
                <c:pt idx="10">
                  <c:v>7506.3353216697324</c:v>
                </c:pt>
                <c:pt idx="11">
                  <c:v>7668.5847596476251</c:v>
                </c:pt>
                <c:pt idx="12">
                  <c:v>7834.3412192274091</c:v>
                </c:pt>
                <c:pt idx="13">
                  <c:v>8003.6805046810114</c:v>
                </c:pt>
                <c:pt idx="14">
                  <c:v>8176.6800587896914</c:v>
                </c:pt>
                <c:pt idx="15">
                  <c:v>8353.418998260433</c:v>
                </c:pt>
                <c:pt idx="16">
                  <c:v>8533.9781499078344</c:v>
                </c:pt>
                <c:pt idx="17">
                  <c:v>8718.4400876180935</c:v>
                </c:pt>
                <c:pt idx="18">
                  <c:v>8862.7956593688286</c:v>
                </c:pt>
                <c:pt idx="19">
                  <c:v>9009.5413984988263</c:v>
                </c:pt>
                <c:pt idx="20">
                  <c:v>9158.7168802044707</c:v>
                </c:pt>
                <c:pt idx="21">
                  <c:v>9310.3623349484551</c:v>
                </c:pt>
                <c:pt idx="22">
                  <c:v>9464.518659309364</c:v>
                </c:pt>
                <c:pt idx="23">
                  <c:v>9621.2274270108792</c:v>
                </c:pt>
                <c:pt idx="24">
                  <c:v>9780.5309001336118</c:v>
                </c:pt>
                <c:pt idx="25">
                  <c:v>9942.4720405125736</c:v>
                </c:pt>
                <c:pt idx="26">
                  <c:v>10107.094521323361</c:v>
                </c:pt>
                <c:pt idx="27">
                  <c:v>10274.442738860173</c:v>
                </c:pt>
                <c:pt idx="28">
                  <c:v>10444.561824508846</c:v>
                </c:pt>
                <c:pt idx="29">
                  <c:v>10617.497656918151</c:v>
                </c:pt>
                <c:pt idx="30">
                  <c:v>10793.296874372572</c:v>
                </c:pt>
                <c:pt idx="31">
                  <c:v>10972.006887369997</c:v>
                </c:pt>
                <c:pt idx="32">
                  <c:v>11153.675891407624</c:v>
                </c:pt>
                <c:pt idx="33">
                  <c:v>11338.352879979606</c:v>
                </c:pt>
                <c:pt idx="34">
                  <c:v>11526.087657789867</c:v>
                </c:pt>
                <c:pt idx="35">
                  <c:v>11716.930854183722</c:v>
                </c:pt>
                <c:pt idx="36">
                  <c:v>11910.933936801868</c:v>
                </c:pt>
                <c:pt idx="37">
                  <c:v>12108.149225460464</c:v>
                </c:pt>
                <c:pt idx="38">
                  <c:v>12108.149225460464</c:v>
                </c:pt>
                <c:pt idx="39">
                  <c:v>12108.149225460464</c:v>
                </c:pt>
                <c:pt idx="40">
                  <c:v>12108.149225460464</c:v>
                </c:pt>
                <c:pt idx="41">
                  <c:v>12108.149225460464</c:v>
                </c:pt>
                <c:pt idx="42">
                  <c:v>12108.149225460464</c:v>
                </c:pt>
                <c:pt idx="43">
                  <c:v>12108.149225460464</c:v>
                </c:pt>
                <c:pt idx="44">
                  <c:v>12108.149225460464</c:v>
                </c:pt>
                <c:pt idx="45">
                  <c:v>12108.149225460464</c:v>
                </c:pt>
                <c:pt idx="46">
                  <c:v>12108.149225460464</c:v>
                </c:pt>
                <c:pt idx="47">
                  <c:v>12108.149225460464</c:v>
                </c:pt>
                <c:pt idx="48">
                  <c:v>12108.149225460464</c:v>
                </c:pt>
                <c:pt idx="49">
                  <c:v>12108.149225460464</c:v>
                </c:pt>
                <c:pt idx="50">
                  <c:v>12108.149225460464</c:v>
                </c:pt>
                <c:pt idx="51">
                  <c:v>12108.149225460464</c:v>
                </c:pt>
                <c:pt idx="52">
                  <c:v>12108.149225460464</c:v>
                </c:pt>
                <c:pt idx="53">
                  <c:v>12108.149225460464</c:v>
                </c:pt>
                <c:pt idx="54">
                  <c:v>12108.149225460464</c:v>
                </c:pt>
                <c:pt idx="55">
                  <c:v>12108.149225460464</c:v>
                </c:pt>
                <c:pt idx="56">
                  <c:v>12108.149225460464</c:v>
                </c:pt>
                <c:pt idx="57">
                  <c:v>12108.149225460464</c:v>
                </c:pt>
                <c:pt idx="58">
                  <c:v>12108.149225460464</c:v>
                </c:pt>
                <c:pt idx="59">
                  <c:v>12108.149225460464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D3-4AD3-8F1D-84AD37A58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215992296"/>
        <c:axId val="215985632"/>
      </c:barChart>
      <c:catAx>
        <c:axId val="2159922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1598563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1598563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15992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7420826030502785"/>
          <c:y val="0.93094686104459479"/>
          <c:w val="0.13249718258348406"/>
          <c:h val="3.7913784767438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 alignWithMargins="0"/>
    <c:pageMargins b="1" l="0.75000000000000222" r="0.75000000000000222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sv-SE" sz="1800" b="1" i="0" u="none" strike="noStrike" kern="1200" cap="all" spc="150" baseline="0">
                <a:solidFill>
                  <a:sysClr val="windowText" lastClr="000000">
                    <a:lumMod val="50000"/>
                    <a:lumOff val="50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sv-SE" sz="1800" b="1" i="0" u="none" strike="noStrike" kern="1200" cap="all" spc="150" baseline="0">
                <a:solidFill>
                  <a:sysClr val="windowText" lastClr="000000">
                    <a:lumMod val="50000"/>
                    <a:lumOff val="50000"/>
                  </a:sysClr>
                </a:solidFill>
                <a:latin typeface="+mn-lt"/>
                <a:ea typeface="+mn-ea"/>
                <a:cs typeface="+mn-cs"/>
              </a:rPr>
              <a:t>ÅRLIG NYTTA (TOTALNYTTA), DISKONTERAD</a:t>
            </a:r>
          </a:p>
        </c:rich>
      </c:tx>
      <c:layout>
        <c:manualLayout>
          <c:xMode val="edge"/>
          <c:yMode val="edge"/>
          <c:x val="0.1802055431007647"/>
          <c:y val="3.28018982147355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sv-SE" sz="1800" b="1" i="0" u="none" strike="noStrike" kern="1200" cap="all" spc="150" baseline="0">
              <a:solidFill>
                <a:sysClr val="windowText" lastClr="000000">
                  <a:lumMod val="50000"/>
                  <a:lumOff val="50000"/>
                </a:sys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8768272985085023E-2"/>
          <c:y val="0.20430179037085003"/>
          <c:w val="0.88587113244298565"/>
          <c:h val="0.664192843827383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Beräkningar!$L$4</c:f>
              <c:strCache>
                <c:ptCount val="1"/>
                <c:pt idx="0">
                  <c:v>Total nytta diskonterat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Beräkningar!$A$6:$A$65</c:f>
              <c:numCache>
                <c:formatCode>0</c:formatCode>
                <c:ptCount val="6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</c:numCache>
            </c:numRef>
          </c:cat>
          <c:val>
            <c:numRef>
              <c:f>Beräkningar!$L$6:$L$65</c:f>
              <c:numCache>
                <c:formatCode>#,##0.00</c:formatCode>
                <c:ptCount val="60"/>
                <c:pt idx="0">
                  <c:v>6061.1544712472469</c:v>
                </c:pt>
                <c:pt idx="1">
                  <c:v>5982.7693962736785</c:v>
                </c:pt>
                <c:pt idx="2">
                  <c:v>5905.398025868727</c:v>
                </c:pt>
                <c:pt idx="3">
                  <c:v>5829.0272504327359</c:v>
                </c:pt>
                <c:pt idx="4">
                  <c:v>5753.6441299041935</c:v>
                </c:pt>
                <c:pt idx="5">
                  <c:v>5679.2358915672212</c:v>
                </c:pt>
                <c:pt idx="6">
                  <c:v>5605.7899278873874</c:v>
                </c:pt>
                <c:pt idx="7">
                  <c:v>5533.2937943755323</c:v>
                </c:pt>
                <c:pt idx="8">
                  <c:v>5461.7352074791897</c:v>
                </c:pt>
                <c:pt idx="9">
                  <c:v>5391.1020425013085</c:v>
                </c:pt>
                <c:pt idx="10">
                  <c:v>5321.3823315458676</c:v>
                </c:pt>
                <c:pt idx="11">
                  <c:v>5252.5642614900798</c:v>
                </c:pt>
                <c:pt idx="12">
                  <c:v>5184.636171982791</c:v>
                </c:pt>
                <c:pt idx="13">
                  <c:v>5117.5865534687937</c:v>
                </c:pt>
                <c:pt idx="14">
                  <c:v>5051.4040452386671</c:v>
                </c:pt>
                <c:pt idx="15">
                  <c:v>4986.0774335038686</c:v>
                </c:pt>
                <c:pt idx="16">
                  <c:v>4921.5956494966731</c:v>
                </c:pt>
                <c:pt idx="17">
                  <c:v>4857.9477675947292</c:v>
                </c:pt>
                <c:pt idx="18">
                  <c:v>4771.3847707793993</c:v>
                </c:pt>
                <c:pt idx="19">
                  <c:v>4686.3642262044241</c:v>
                </c:pt>
                <c:pt idx="20">
                  <c:v>4602.8586491592305</c:v>
                </c:pt>
                <c:pt idx="21">
                  <c:v>4520.841044678923</c:v>
                </c:pt>
                <c:pt idx="22">
                  <c:v>4440.2848988175792</c:v>
                </c:pt>
                <c:pt idx="23">
                  <c:v>4361.1641700770542</c:v>
                </c:pt>
                <c:pt idx="24">
                  <c:v>4283.4532809885086</c:v>
                </c:pt>
                <c:pt idx="25">
                  <c:v>4207.1271098439383</c:v>
                </c:pt>
                <c:pt idx="26">
                  <c:v>4132.160982575052</c:v>
                </c:pt>
                <c:pt idx="27">
                  <c:v>4058.5306647768489</c:v>
                </c:pt>
                <c:pt idx="28">
                  <c:v>3986.212353873324</c:v>
                </c:pt>
                <c:pt idx="29">
                  <c:v>3915.182671422785</c:v>
                </c:pt>
                <c:pt idx="30">
                  <c:v>3845.4186555602582</c:v>
                </c:pt>
                <c:pt idx="31">
                  <c:v>3776.8977535745871</c:v>
                </c:pt>
                <c:pt idx="32">
                  <c:v>3709.5978146177763</c:v>
                </c:pt>
                <c:pt idx="33">
                  <c:v>3643.497082544261</c:v>
                </c:pt>
                <c:pt idx="34">
                  <c:v>3578.5741888777661</c:v>
                </c:pt>
                <c:pt idx="35">
                  <c:v>3514.8081459034875</c:v>
                </c:pt>
                <c:pt idx="36">
                  <c:v>3452.1783398833668</c:v>
                </c:pt>
                <c:pt idx="37">
                  <c:v>3390.6645243922567</c:v>
                </c:pt>
                <c:pt idx="38">
                  <c:v>3276.0043713934842</c:v>
                </c:pt>
                <c:pt idx="39">
                  <c:v>3165.2216148729326</c:v>
                </c:pt>
                <c:pt idx="40">
                  <c:v>3058.1851351429304</c:v>
                </c:pt>
                <c:pt idx="41">
                  <c:v>2954.7682465149092</c:v>
                </c:pt>
                <c:pt idx="42">
                  <c:v>2854.8485473574001</c:v>
                </c:pt>
                <c:pt idx="43">
                  <c:v>2758.3077752245408</c:v>
                </c:pt>
                <c:pt idx="44">
                  <c:v>2665.0316668836149</c:v>
                </c:pt>
                <c:pt idx="45">
                  <c:v>2574.9098230759564</c:v>
                </c:pt>
                <c:pt idx="46">
                  <c:v>2487.8355778511655</c:v>
                </c:pt>
                <c:pt idx="47">
                  <c:v>2403.7058723199671</c:v>
                </c:pt>
                <c:pt idx="48">
                  <c:v>2322.4211326762975</c:v>
                </c:pt>
                <c:pt idx="49">
                  <c:v>2243.885152344249</c:v>
                </c:pt>
                <c:pt idx="50">
                  <c:v>2168.0049781103853</c:v>
                </c:pt>
                <c:pt idx="51">
                  <c:v>2094.6908001066527</c:v>
                </c:pt>
                <c:pt idx="52">
                  <c:v>2023.8558455136742</c:v>
                </c:pt>
                <c:pt idx="53">
                  <c:v>1955.4162758586228</c:v>
                </c:pt>
                <c:pt idx="54">
                  <c:v>1889.2910877861093</c:v>
                </c:pt>
                <c:pt idx="55">
                  <c:v>1825.4020171846464</c:v>
                </c:pt>
                <c:pt idx="56">
                  <c:v>1763.6734465552142</c:v>
                </c:pt>
                <c:pt idx="57">
                  <c:v>1704.0323155122846</c:v>
                </c:pt>
                <c:pt idx="58">
                  <c:v>1646.408034311386</c:v>
                </c:pt>
                <c:pt idx="59">
                  <c:v>1590.7324003008559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8D-42FB-8BBC-10A0B2D73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5986808"/>
        <c:axId val="215987592"/>
      </c:barChart>
      <c:catAx>
        <c:axId val="21598680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159875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15987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15986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 alignWithMargins="0"/>
    <c:pageMargins b="1" l="0.75000000000000222" r="0.75000000000000222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Investeringskostnad, Diskonterad</a:t>
            </a:r>
          </a:p>
        </c:rich>
      </c:tx>
      <c:layout>
        <c:manualLayout>
          <c:xMode val="edge"/>
          <c:yMode val="edge"/>
          <c:x val="0.1802055431007647"/>
          <c:y val="3.28018982147355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8768272985085023E-2"/>
          <c:y val="0.20430179037085003"/>
          <c:w val="0.88587113244298565"/>
          <c:h val="0.664192843827383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Beräkningar!$O$4</c:f>
              <c:strCache>
                <c:ptCount val="1"/>
                <c:pt idx="0">
                  <c:v>Invkostnad, diskonterad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numRef>
              <c:f>Beräkningar!$A$6:$A$77</c:f>
              <c:numCache>
                <c:formatCode>0</c:formatCode>
                <c:ptCount val="7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</c:numCache>
            </c:numRef>
          </c:cat>
          <c:val>
            <c:numRef>
              <c:f>Beräkningar!$O$6:$O$77</c:f>
              <c:numCache>
                <c:formatCode>#,##0.00</c:formatCode>
                <c:ptCount val="72"/>
                <c:pt idx="0">
                  <c:v>18898.243937333042</c:v>
                </c:pt>
                <c:pt idx="1">
                  <c:v>36954.296197166499</c:v>
                </c:pt>
                <c:pt idx="2">
                  <c:v>18065.435232452524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32-4887-B8E9-A2B686AC4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216593648"/>
        <c:axId val="216594432"/>
      </c:barChart>
      <c:catAx>
        <c:axId val="21659364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1659443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1659443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16593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 alignWithMargins="0"/>
    <c:pageMargins b="1" l="0.75000000000000222" r="0.75000000000000222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239948</xdr:colOff>
      <xdr:row>4</xdr:row>
      <xdr:rowOff>6022</xdr:rowOff>
    </xdr:from>
    <xdr:to>
      <xdr:col>25</xdr:col>
      <xdr:colOff>454025</xdr:colOff>
      <xdr:row>29</xdr:row>
      <xdr:rowOff>73025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196854</xdr:colOff>
      <xdr:row>29</xdr:row>
      <xdr:rowOff>165614</xdr:rowOff>
    </xdr:from>
    <xdr:to>
      <xdr:col>25</xdr:col>
      <xdr:colOff>434975</xdr:colOff>
      <xdr:row>68</xdr:row>
      <xdr:rowOff>60325</xdr:rowOff>
    </xdr:to>
    <xdr:graphicFrame macro="">
      <xdr:nvGraphicFramePr>
        <xdr:cNvPr id="3" name="Chart 2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288131</xdr:colOff>
      <xdr:row>69</xdr:row>
      <xdr:rowOff>26193</xdr:rowOff>
    </xdr:from>
    <xdr:to>
      <xdr:col>25</xdr:col>
      <xdr:colOff>504824</xdr:colOff>
      <xdr:row>89</xdr:row>
      <xdr:rowOff>15875</xdr:rowOff>
    </xdr:to>
    <xdr:graphicFrame macro="">
      <xdr:nvGraphicFramePr>
        <xdr:cNvPr id="4" name="Chart 2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26194</xdr:colOff>
      <xdr:row>0</xdr:row>
      <xdr:rowOff>92868</xdr:rowOff>
    </xdr:from>
    <xdr:to>
      <xdr:col>2</xdr:col>
      <xdr:colOff>2087563</xdr:colOff>
      <xdr:row>3</xdr:row>
      <xdr:rowOff>57677</xdr:rowOff>
    </xdr:to>
    <xdr:pic>
      <xdr:nvPicPr>
        <xdr:cNvPr id="7" name="Bildobjekt 6" descr="trafikverket-logo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6194" y="92868"/>
          <a:ext cx="2464594" cy="4691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2:R125"/>
  <sheetViews>
    <sheetView showGridLines="0" tabSelected="1" showWhiteSpace="0" topLeftCell="A10" zoomScaleNormal="100" zoomScalePageLayoutView="90" workbookViewId="0">
      <selection activeCell="H29" sqref="H29"/>
    </sheetView>
  </sheetViews>
  <sheetFormatPr defaultColWidth="9.140625" defaultRowHeight="12.75" x14ac:dyDescent="0.2"/>
  <cols>
    <col min="1" max="1" width="3" customWidth="1"/>
    <col min="2" max="2" width="2.85546875" customWidth="1"/>
    <col min="3" max="3" width="44.28515625" customWidth="1"/>
    <col min="4" max="4" width="11.85546875" customWidth="1"/>
    <col min="5" max="5" width="2.85546875" customWidth="1"/>
    <col min="6" max="6" width="2" customWidth="1"/>
    <col min="7" max="7" width="2.42578125" customWidth="1"/>
    <col min="8" max="8" width="29.5703125" customWidth="1"/>
    <col min="9" max="9" width="2.7109375" customWidth="1"/>
    <col min="10" max="10" width="23.28515625" customWidth="1"/>
    <col min="11" max="11" width="2.28515625" customWidth="1"/>
    <col min="12" max="12" width="2.85546875" customWidth="1"/>
    <col min="13" max="13" width="4.85546875" customWidth="1"/>
    <col min="14" max="14" width="8.28515625" hidden="1" customWidth="1"/>
  </cols>
  <sheetData>
    <row r="2" spans="2:17" ht="15" x14ac:dyDescent="0.25">
      <c r="G2" s="24"/>
      <c r="I2" s="25"/>
    </row>
    <row r="3" spans="2:17" x14ac:dyDescent="0.2">
      <c r="I3" s="26"/>
    </row>
    <row r="4" spans="2:17" ht="28.5" thickBot="1" x14ac:dyDescent="0.3">
      <c r="B4" s="27" t="s">
        <v>22</v>
      </c>
      <c r="C4" s="3"/>
      <c r="D4" s="1"/>
      <c r="E4" s="1"/>
      <c r="G4" s="6" t="s">
        <v>23</v>
      </c>
      <c r="J4" s="1"/>
      <c r="K4" s="1"/>
      <c r="L4" s="1"/>
      <c r="M4" s="1"/>
      <c r="N4" s="1"/>
      <c r="O4" s="73" t="s">
        <v>12</v>
      </c>
      <c r="P4" s="1"/>
      <c r="Q4" s="1"/>
    </row>
    <row r="5" spans="2:17" ht="25.5" customHeight="1" x14ac:dyDescent="0.25">
      <c r="B5" s="11"/>
      <c r="C5" s="270" t="s">
        <v>7</v>
      </c>
      <c r="D5" s="12"/>
      <c r="E5" s="12"/>
      <c r="F5" s="1"/>
      <c r="G5" s="36"/>
      <c r="H5" s="37" t="s">
        <v>2</v>
      </c>
      <c r="I5" s="38"/>
      <c r="J5" s="38"/>
      <c r="K5" s="38"/>
      <c r="L5" s="39"/>
      <c r="M5" s="1"/>
      <c r="N5" s="1"/>
      <c r="O5" s="1"/>
      <c r="P5" s="1"/>
      <c r="Q5" s="1"/>
    </row>
    <row r="6" spans="2:17" x14ac:dyDescent="0.2">
      <c r="B6" s="13"/>
      <c r="C6" s="13"/>
      <c r="D6" s="17"/>
      <c r="E6" s="17"/>
      <c r="F6" s="7"/>
      <c r="G6" s="40"/>
      <c r="H6" s="41"/>
      <c r="I6" s="41"/>
      <c r="J6" s="41"/>
      <c r="K6" s="41"/>
      <c r="L6" s="42"/>
      <c r="M6" s="1"/>
      <c r="N6" s="5"/>
      <c r="O6" s="1"/>
      <c r="P6" s="1"/>
      <c r="Q6" s="1"/>
    </row>
    <row r="7" spans="2:17" ht="13.5" thickBot="1" x14ac:dyDescent="0.25">
      <c r="B7" s="13"/>
      <c r="C7" s="271" t="s">
        <v>122</v>
      </c>
      <c r="D7" s="272"/>
      <c r="E7" s="15"/>
      <c r="F7" s="1"/>
      <c r="G7" s="40"/>
      <c r="H7" s="43" t="s">
        <v>31</v>
      </c>
      <c r="I7" s="44"/>
      <c r="J7" s="44">
        <f>Beräkningar!K5</f>
        <v>623893.14542329952</v>
      </c>
      <c r="K7" s="45"/>
      <c r="L7" s="42"/>
      <c r="M7" s="1"/>
      <c r="N7" s="9"/>
      <c r="O7" s="1"/>
      <c r="P7" s="1"/>
      <c r="Q7" s="1"/>
    </row>
    <row r="8" spans="2:17" x14ac:dyDescent="0.2">
      <c r="B8" s="11"/>
      <c r="C8" s="61" t="s">
        <v>21</v>
      </c>
      <c r="D8" s="62">
        <v>1.2</v>
      </c>
      <c r="E8" s="12"/>
      <c r="F8" s="1"/>
      <c r="G8" s="40"/>
      <c r="H8" s="43" t="s">
        <v>32</v>
      </c>
      <c r="I8" s="44"/>
      <c r="J8" s="44">
        <f>Beräkningar!L5</f>
        <v>216707.51062333747</v>
      </c>
      <c r="K8" s="45"/>
      <c r="L8" s="42"/>
      <c r="M8" s="1"/>
      <c r="N8" s="9"/>
      <c r="O8" s="1"/>
      <c r="P8" s="1"/>
      <c r="Q8" s="1"/>
    </row>
    <row r="9" spans="2:17" x14ac:dyDescent="0.2">
      <c r="B9" s="13"/>
      <c r="C9" s="34" t="s">
        <v>3</v>
      </c>
      <c r="D9" s="63">
        <v>1.0349999999999999</v>
      </c>
      <c r="E9" s="17"/>
      <c r="F9" s="1"/>
      <c r="G9" s="40"/>
      <c r="H9" s="46"/>
      <c r="I9" s="46"/>
      <c r="J9" s="46"/>
      <c r="K9" s="47"/>
      <c r="L9" s="42"/>
      <c r="M9" s="1"/>
      <c r="N9" s="9"/>
      <c r="O9" s="1"/>
      <c r="P9" s="1"/>
      <c r="Q9" s="1"/>
    </row>
    <row r="10" spans="2:17" x14ac:dyDescent="0.2">
      <c r="B10" s="13"/>
      <c r="C10" s="34" t="s">
        <v>0</v>
      </c>
      <c r="D10" s="63">
        <v>2028</v>
      </c>
      <c r="E10" s="17"/>
      <c r="F10" s="1"/>
      <c r="G10" s="40"/>
      <c r="H10" s="56" t="s">
        <v>35</v>
      </c>
      <c r="I10" s="44"/>
      <c r="J10" s="44">
        <f>IF(D59&lt;&gt;"",D59,Beräkningar!O5)</f>
        <v>73917.975366952072</v>
      </c>
      <c r="K10" s="43"/>
      <c r="L10" s="42"/>
      <c r="M10" s="1"/>
      <c r="N10" s="9"/>
      <c r="O10" s="1"/>
      <c r="P10" s="1"/>
      <c r="Q10" s="1"/>
    </row>
    <row r="11" spans="2:17" x14ac:dyDescent="0.2">
      <c r="B11" s="13"/>
      <c r="C11" s="34" t="s">
        <v>8</v>
      </c>
      <c r="D11" s="63">
        <v>2019</v>
      </c>
      <c r="E11" s="17"/>
      <c r="F11" s="1"/>
      <c r="G11" s="40"/>
      <c r="H11" s="43" t="s">
        <v>37</v>
      </c>
      <c r="I11" s="41"/>
      <c r="J11" s="58">
        <f>Beräkningar!N5</f>
        <v>48712.583687251354</v>
      </c>
      <c r="K11" s="43"/>
      <c r="L11" s="42"/>
      <c r="M11" s="1"/>
      <c r="N11" s="9"/>
      <c r="O11" s="1"/>
      <c r="P11" s="1"/>
      <c r="Q11" s="1"/>
    </row>
    <row r="12" spans="2:17" ht="13.5" customHeight="1" x14ac:dyDescent="0.2">
      <c r="B12" s="13"/>
      <c r="C12" s="34" t="s">
        <v>24</v>
      </c>
      <c r="D12" s="63">
        <v>2028</v>
      </c>
      <c r="E12" s="17"/>
      <c r="F12" s="1"/>
      <c r="G12" s="40"/>
      <c r="H12" s="56" t="s">
        <v>36</v>
      </c>
      <c r="I12" s="44"/>
      <c r="J12" s="44">
        <f>(J10+J11)*(D8-1)</f>
        <v>24526.111810840677</v>
      </c>
      <c r="K12" s="46"/>
      <c r="L12" s="42"/>
      <c r="M12" s="1"/>
      <c r="N12" s="9"/>
      <c r="O12" s="1"/>
      <c r="P12" s="1"/>
      <c r="Q12" s="1"/>
    </row>
    <row r="13" spans="2:17" x14ac:dyDescent="0.2">
      <c r="B13" s="13"/>
      <c r="C13" s="34" t="s">
        <v>43</v>
      </c>
      <c r="D13" s="63">
        <v>1.0115000000000001</v>
      </c>
      <c r="E13" s="17"/>
      <c r="F13" s="1"/>
      <c r="G13" s="40"/>
      <c r="H13" s="48" t="s">
        <v>6</v>
      </c>
      <c r="I13" s="44"/>
      <c r="J13" s="44">
        <f>(J8-J10-J11-J12)</f>
        <v>69550.839758293369</v>
      </c>
      <c r="K13" s="49"/>
      <c r="L13" s="42"/>
      <c r="M13" s="1"/>
      <c r="N13" s="9"/>
      <c r="O13" s="1"/>
      <c r="P13" s="1"/>
      <c r="Q13" s="1"/>
    </row>
    <row r="14" spans="2:17" x14ac:dyDescent="0.2">
      <c r="B14" s="13"/>
      <c r="C14" s="34" t="s">
        <v>44</v>
      </c>
      <c r="D14" s="63">
        <v>1.0109999999999999</v>
      </c>
      <c r="E14" s="17"/>
      <c r="F14" s="1"/>
      <c r="G14" s="40"/>
      <c r="H14" s="43" t="s">
        <v>16</v>
      </c>
      <c r="I14" s="50"/>
      <c r="J14" s="50">
        <f>J13/(J10+J11)</f>
        <v>0.56715748745426087</v>
      </c>
      <c r="K14" s="49"/>
      <c r="L14" s="42"/>
      <c r="M14" s="1"/>
      <c r="N14" s="9"/>
      <c r="O14" s="1"/>
      <c r="P14" s="1"/>
      <c r="Q14" s="1"/>
    </row>
    <row r="15" spans="2:17" ht="13.5" thickBot="1" x14ac:dyDescent="0.25">
      <c r="B15" s="13"/>
      <c r="C15" s="34" t="s">
        <v>18</v>
      </c>
      <c r="D15" s="63">
        <v>2045</v>
      </c>
      <c r="E15" s="17"/>
      <c r="F15" s="1"/>
      <c r="G15" s="51"/>
      <c r="H15" s="52" t="s">
        <v>20</v>
      </c>
      <c r="I15" s="53"/>
      <c r="J15" s="53">
        <f>(J8-J12)/(J10+J11)</f>
        <v>1.5671574874542609</v>
      </c>
      <c r="K15" s="54"/>
      <c r="L15" s="55"/>
      <c r="M15" s="1"/>
      <c r="N15" s="9"/>
      <c r="O15" s="1"/>
      <c r="P15" s="1"/>
      <c r="Q15" s="1"/>
    </row>
    <row r="16" spans="2:17" ht="16.5" thickBot="1" x14ac:dyDescent="0.3">
      <c r="B16" s="13"/>
      <c r="C16" s="35" t="s">
        <v>19</v>
      </c>
      <c r="D16" s="72">
        <v>2065</v>
      </c>
      <c r="E16" s="17"/>
      <c r="F16" s="1"/>
      <c r="G16" s="59"/>
      <c r="H16" s="64"/>
      <c r="I16" s="59"/>
      <c r="J16" s="59"/>
      <c r="K16" s="59"/>
      <c r="L16" s="59"/>
      <c r="M16" s="1"/>
      <c r="N16" s="9"/>
      <c r="O16" s="1"/>
      <c r="P16" s="1"/>
      <c r="Q16" s="1"/>
    </row>
    <row r="17" spans="2:17" x14ac:dyDescent="0.2">
      <c r="B17" s="13"/>
      <c r="C17" s="19"/>
      <c r="D17" s="17"/>
      <c r="E17" s="17"/>
      <c r="F17" s="1"/>
      <c r="G17" s="1"/>
      <c r="H17" s="1"/>
      <c r="I17" s="1"/>
      <c r="J17" s="1"/>
      <c r="K17" s="1"/>
      <c r="L17" s="1"/>
      <c r="M17" s="1"/>
      <c r="N17" s="9"/>
      <c r="O17" s="1"/>
      <c r="P17" s="1"/>
      <c r="Q17" s="1"/>
    </row>
    <row r="18" spans="2:17" ht="13.5" thickBot="1" x14ac:dyDescent="0.25">
      <c r="B18" s="13"/>
      <c r="C18" s="14" t="s">
        <v>120</v>
      </c>
      <c r="D18" s="15"/>
      <c r="E18" s="17"/>
      <c r="F18" s="1"/>
      <c r="G18" s="1"/>
      <c r="H18" s="1"/>
      <c r="I18" s="1"/>
      <c r="J18" s="1"/>
      <c r="K18" s="1"/>
      <c r="L18" s="1"/>
      <c r="M18" s="1"/>
      <c r="N18" s="9"/>
      <c r="O18" s="1"/>
      <c r="P18" s="1"/>
      <c r="Q18" s="1"/>
    </row>
    <row r="19" spans="2:17" x14ac:dyDescent="0.2">
      <c r="B19" s="13"/>
      <c r="C19" s="233" t="s">
        <v>15</v>
      </c>
      <c r="D19" s="238">
        <v>60</v>
      </c>
      <c r="E19" s="17"/>
      <c r="F19" s="81" t="s">
        <v>41</v>
      </c>
      <c r="H19" s="59"/>
      <c r="I19" s="1"/>
      <c r="J19" s="1"/>
      <c r="K19" s="1"/>
      <c r="L19" s="1"/>
      <c r="M19" s="1"/>
      <c r="N19" s="9"/>
      <c r="O19" s="1"/>
      <c r="P19" s="1"/>
      <c r="Q19" s="1"/>
    </row>
    <row r="20" spans="2:17" x14ac:dyDescent="0.2">
      <c r="B20" s="13"/>
      <c r="C20" s="235" t="s">
        <v>46</v>
      </c>
      <c r="D20" s="273">
        <f>D12+D54</f>
        <v>2031</v>
      </c>
      <c r="E20" s="17"/>
      <c r="F20" s="81" t="s">
        <v>127</v>
      </c>
      <c r="H20" s="59"/>
      <c r="I20" s="1"/>
      <c r="J20" s="1"/>
      <c r="K20" s="1"/>
      <c r="L20" s="1"/>
      <c r="M20" s="1"/>
      <c r="N20" s="9"/>
      <c r="O20" s="1"/>
      <c r="P20" s="1"/>
      <c r="Q20" s="1"/>
    </row>
    <row r="21" spans="2:17" x14ac:dyDescent="0.2">
      <c r="B21" s="13"/>
      <c r="C21" s="235" t="s">
        <v>45</v>
      </c>
      <c r="D21" s="239">
        <v>1.01</v>
      </c>
      <c r="E21" s="17"/>
      <c r="F21" s="81" t="s">
        <v>39</v>
      </c>
      <c r="H21" s="57"/>
      <c r="I21" s="1"/>
      <c r="J21" s="232"/>
      <c r="K21" s="1"/>
      <c r="L21" s="1"/>
      <c r="M21" s="1"/>
      <c r="N21" s="9"/>
      <c r="O21" s="1"/>
      <c r="P21" s="1"/>
      <c r="Q21" s="1"/>
    </row>
    <row r="22" spans="2:17" x14ac:dyDescent="0.2">
      <c r="B22" s="13"/>
      <c r="C22" s="235" t="s">
        <v>47</v>
      </c>
      <c r="D22" s="239">
        <v>1.0049999999999999</v>
      </c>
      <c r="E22" s="17"/>
      <c r="F22" s="81" t="s">
        <v>40</v>
      </c>
      <c r="H22" s="1"/>
      <c r="I22" s="1"/>
      <c r="J22" s="1"/>
      <c r="K22" s="1"/>
      <c r="L22" s="1"/>
      <c r="M22" s="1"/>
      <c r="N22" s="9"/>
      <c r="O22" s="1"/>
      <c r="P22" s="1"/>
      <c r="Q22" s="1"/>
    </row>
    <row r="23" spans="2:17" x14ac:dyDescent="0.2">
      <c r="B23" s="13"/>
      <c r="C23" s="235" t="s">
        <v>33</v>
      </c>
      <c r="D23" s="240">
        <v>2019</v>
      </c>
      <c r="E23" s="17"/>
      <c r="F23" s="81" t="s">
        <v>42</v>
      </c>
      <c r="H23" s="1"/>
      <c r="I23" s="1"/>
      <c r="J23" s="1"/>
      <c r="K23" s="1"/>
      <c r="L23" s="1"/>
      <c r="M23" s="1"/>
      <c r="N23" s="9"/>
      <c r="O23" s="1"/>
      <c r="P23" s="1"/>
      <c r="Q23" s="1"/>
    </row>
    <row r="24" spans="2:17" ht="13.5" thickBot="1" x14ac:dyDescent="0.25">
      <c r="B24" s="13"/>
      <c r="C24" s="70" t="s">
        <v>34</v>
      </c>
      <c r="D24" s="100">
        <v>2019</v>
      </c>
      <c r="E24" s="17"/>
      <c r="F24" s="81" t="s">
        <v>42</v>
      </c>
      <c r="H24" s="1"/>
      <c r="I24" s="1"/>
      <c r="J24" s="1"/>
      <c r="K24" s="1"/>
      <c r="L24" s="1"/>
      <c r="M24" s="1"/>
      <c r="N24" s="10"/>
      <c r="O24" s="1"/>
      <c r="P24" s="1"/>
      <c r="Q24" s="1"/>
    </row>
    <row r="25" spans="2:17" x14ac:dyDescent="0.2">
      <c r="B25" s="13"/>
      <c r="C25" s="19"/>
      <c r="D25" s="17"/>
      <c r="E25" s="17"/>
      <c r="F25" s="1"/>
      <c r="G25" s="1"/>
      <c r="H25" s="1"/>
      <c r="I25" s="1"/>
      <c r="J25" s="1"/>
      <c r="K25" s="1"/>
      <c r="L25" s="1"/>
      <c r="M25" s="1"/>
      <c r="N25" s="9"/>
      <c r="O25" s="1"/>
      <c r="P25" s="1"/>
      <c r="Q25" s="1"/>
    </row>
    <row r="26" spans="2:17" ht="13.5" thickBot="1" x14ac:dyDescent="0.25">
      <c r="B26" s="13"/>
      <c r="C26" s="14" t="s">
        <v>121</v>
      </c>
      <c r="D26" s="15"/>
      <c r="E26" s="17"/>
      <c r="F26" s="1"/>
      <c r="G26" s="1"/>
      <c r="H26" s="1"/>
      <c r="I26" s="1"/>
      <c r="J26" s="1"/>
      <c r="K26" s="1"/>
      <c r="L26" s="1"/>
      <c r="M26" s="1"/>
      <c r="N26" s="9"/>
      <c r="O26" s="1"/>
      <c r="P26" s="1"/>
      <c r="Q26" s="1"/>
    </row>
    <row r="27" spans="2:17" x14ac:dyDescent="0.2">
      <c r="B27" s="13"/>
      <c r="C27" s="233" t="s">
        <v>54</v>
      </c>
      <c r="D27" s="241">
        <v>5000</v>
      </c>
      <c r="E27" s="17"/>
      <c r="F27" s="83" t="s">
        <v>129</v>
      </c>
      <c r="H27" s="1"/>
      <c r="I27" s="1"/>
      <c r="J27" s="1"/>
      <c r="K27" s="1"/>
      <c r="L27" s="1"/>
      <c r="M27" s="1"/>
      <c r="N27" s="10"/>
      <c r="O27" s="1"/>
      <c r="P27" s="1"/>
      <c r="Q27" s="1"/>
    </row>
    <row r="28" spans="2:17" x14ac:dyDescent="0.2">
      <c r="B28" s="13"/>
      <c r="C28" s="234" t="s">
        <v>48</v>
      </c>
      <c r="D28" s="240">
        <v>1</v>
      </c>
      <c r="E28" s="17"/>
      <c r="F28" s="83" t="s">
        <v>128</v>
      </c>
      <c r="H28" s="1"/>
      <c r="I28" s="1"/>
      <c r="J28" s="1"/>
      <c r="K28" s="1"/>
      <c r="L28" s="1"/>
      <c r="M28" s="1"/>
      <c r="N28" s="10"/>
      <c r="O28" s="1"/>
      <c r="P28" s="1"/>
      <c r="Q28" s="1"/>
    </row>
    <row r="29" spans="2:17" x14ac:dyDescent="0.2">
      <c r="B29" s="13"/>
      <c r="C29" s="234" t="s">
        <v>50</v>
      </c>
      <c r="D29" s="243" t="s">
        <v>51</v>
      </c>
      <c r="E29" s="17"/>
      <c r="G29" s="82"/>
      <c r="H29" s="1"/>
      <c r="J29" s="1"/>
      <c r="M29" s="1"/>
      <c r="N29" s="1"/>
      <c r="O29" s="1"/>
      <c r="P29" s="1"/>
      <c r="Q29" s="1"/>
    </row>
    <row r="30" spans="2:17" ht="13.5" thickBot="1" x14ac:dyDescent="0.25">
      <c r="B30" s="13"/>
      <c r="C30" s="101" t="s">
        <v>52</v>
      </c>
      <c r="D30" s="243" t="s">
        <v>51</v>
      </c>
      <c r="E30" s="17"/>
      <c r="G30" s="82"/>
      <c r="H30" s="1"/>
      <c r="J30" s="1"/>
      <c r="M30" s="1"/>
      <c r="O30" s="1"/>
      <c r="P30" s="1"/>
      <c r="Q30" s="1"/>
    </row>
    <row r="31" spans="2:17" x14ac:dyDescent="0.2">
      <c r="B31" s="13"/>
      <c r="C31" s="233" t="s">
        <v>55</v>
      </c>
      <c r="D31" s="241">
        <v>0</v>
      </c>
      <c r="E31" s="17"/>
      <c r="F31" s="1"/>
      <c r="H31" s="1"/>
      <c r="J31" s="1"/>
      <c r="M31" s="1"/>
      <c r="O31" s="1"/>
      <c r="P31" s="1"/>
      <c r="Q31" s="1"/>
    </row>
    <row r="32" spans="2:17" x14ac:dyDescent="0.2">
      <c r="B32" s="13"/>
      <c r="C32" s="234" t="s">
        <v>49</v>
      </c>
      <c r="D32" s="237">
        <v>0</v>
      </c>
      <c r="E32" s="17"/>
      <c r="F32" s="1"/>
      <c r="G32" s="1"/>
      <c r="H32" s="1"/>
      <c r="I32" s="1"/>
      <c r="J32" s="1"/>
      <c r="M32" s="1"/>
      <c r="O32" s="1"/>
      <c r="P32" s="1"/>
      <c r="Q32" s="1"/>
    </row>
    <row r="33" spans="2:18" x14ac:dyDescent="0.2">
      <c r="B33" s="13"/>
      <c r="C33" s="234" t="s">
        <v>50</v>
      </c>
      <c r="D33" s="243" t="s">
        <v>53</v>
      </c>
      <c r="E33" s="17"/>
      <c r="F33" s="1"/>
      <c r="G33" s="1"/>
      <c r="H33" s="1"/>
      <c r="I33" s="1"/>
      <c r="J33" s="1"/>
      <c r="M33" s="1"/>
      <c r="O33" s="1"/>
      <c r="P33" s="1"/>
      <c r="Q33" s="1"/>
    </row>
    <row r="34" spans="2:18" ht="13.5" thickBot="1" x14ac:dyDescent="0.25">
      <c r="B34" s="13"/>
      <c r="C34" s="101" t="s">
        <v>52</v>
      </c>
      <c r="D34" s="243" t="s">
        <v>53</v>
      </c>
      <c r="E34" s="17"/>
      <c r="F34" s="1"/>
      <c r="G34" s="1"/>
      <c r="H34" s="1"/>
      <c r="I34" s="1"/>
      <c r="J34" s="1"/>
      <c r="M34" s="1"/>
      <c r="O34" s="1"/>
      <c r="P34" s="1"/>
      <c r="Q34" s="1"/>
    </row>
    <row r="35" spans="2:18" x14ac:dyDescent="0.2">
      <c r="B35" s="13"/>
      <c r="C35" s="233" t="s">
        <v>56</v>
      </c>
      <c r="D35" s="238">
        <v>0</v>
      </c>
      <c r="E35" s="17"/>
      <c r="F35" s="1"/>
      <c r="H35" s="1"/>
      <c r="I35" s="1"/>
      <c r="J35" s="1"/>
      <c r="M35" s="1"/>
      <c r="O35" s="1"/>
      <c r="P35" s="1"/>
      <c r="Q35" s="1"/>
    </row>
    <row r="36" spans="2:18" x14ac:dyDescent="0.2">
      <c r="B36" s="13"/>
      <c r="C36" s="234" t="s">
        <v>48</v>
      </c>
      <c r="D36" s="237">
        <v>0</v>
      </c>
      <c r="E36" s="17"/>
      <c r="F36" s="1"/>
      <c r="H36" s="8"/>
      <c r="I36" s="1"/>
      <c r="J36" s="1"/>
      <c r="M36" s="1"/>
      <c r="O36" s="1"/>
      <c r="P36" s="1"/>
      <c r="Q36" s="1"/>
    </row>
    <row r="37" spans="2:18" x14ac:dyDescent="0.2">
      <c r="B37" s="13"/>
      <c r="C37" s="234" t="s">
        <v>50</v>
      </c>
      <c r="D37" s="243" t="s">
        <v>53</v>
      </c>
      <c r="E37" s="17"/>
      <c r="F37" s="1"/>
      <c r="H37" s="8"/>
      <c r="I37" s="1"/>
      <c r="J37" s="1"/>
      <c r="M37" s="1"/>
      <c r="O37" s="1"/>
      <c r="P37" s="1"/>
      <c r="Q37" s="1"/>
    </row>
    <row r="38" spans="2:18" ht="13.5" thickBot="1" x14ac:dyDescent="0.25">
      <c r="B38" s="13"/>
      <c r="C38" s="101" t="s">
        <v>52</v>
      </c>
      <c r="D38" s="243" t="s">
        <v>51</v>
      </c>
      <c r="E38" s="17"/>
      <c r="F38" s="1"/>
      <c r="H38" s="8"/>
      <c r="I38" s="1"/>
      <c r="J38" s="1"/>
      <c r="M38" s="1"/>
      <c r="O38" s="1"/>
      <c r="P38" s="1"/>
      <c r="Q38" s="1"/>
    </row>
    <row r="39" spans="2:18" x14ac:dyDescent="0.2">
      <c r="B39" s="13"/>
      <c r="C39" s="233" t="s">
        <v>57</v>
      </c>
      <c r="D39" s="238">
        <v>0</v>
      </c>
      <c r="E39" s="17"/>
      <c r="F39" s="1"/>
      <c r="G39" s="1"/>
      <c r="H39" s="4"/>
      <c r="I39" s="1"/>
      <c r="J39" s="1"/>
      <c r="M39" s="1"/>
      <c r="O39" s="1"/>
      <c r="P39" s="1"/>
      <c r="Q39" s="1"/>
    </row>
    <row r="40" spans="2:18" x14ac:dyDescent="0.2">
      <c r="B40" s="13"/>
      <c r="C40" s="234" t="s">
        <v>48</v>
      </c>
      <c r="D40" s="242">
        <v>0</v>
      </c>
      <c r="E40" s="17"/>
      <c r="F40" s="1"/>
      <c r="G40" s="1"/>
      <c r="H40" s="4"/>
      <c r="I40" s="1"/>
      <c r="J40" s="1"/>
      <c r="M40" s="1"/>
      <c r="O40" s="1"/>
      <c r="P40" s="1"/>
      <c r="Q40" s="1"/>
    </row>
    <row r="41" spans="2:18" x14ac:dyDescent="0.2">
      <c r="B41" s="13"/>
      <c r="C41" s="234" t="s">
        <v>50</v>
      </c>
      <c r="D41" s="243" t="s">
        <v>53</v>
      </c>
      <c r="E41" s="17"/>
      <c r="F41" s="1"/>
      <c r="G41" s="1"/>
      <c r="H41" s="4"/>
      <c r="I41" s="1"/>
      <c r="J41" s="1"/>
      <c r="M41" s="1"/>
      <c r="O41" s="1"/>
      <c r="P41" s="1"/>
      <c r="Q41" s="1"/>
    </row>
    <row r="42" spans="2:18" ht="13.5" thickBot="1" x14ac:dyDescent="0.25">
      <c r="B42" s="13"/>
      <c r="C42" s="101" t="s">
        <v>52</v>
      </c>
      <c r="D42" s="243" t="s">
        <v>53</v>
      </c>
      <c r="E42" s="17"/>
      <c r="F42" s="1"/>
      <c r="G42" s="1"/>
      <c r="H42" s="4"/>
      <c r="I42" s="1"/>
      <c r="J42" s="1"/>
      <c r="M42" s="1"/>
      <c r="O42" s="1"/>
      <c r="P42" s="1"/>
      <c r="Q42" s="1"/>
    </row>
    <row r="43" spans="2:18" x14ac:dyDescent="0.2">
      <c r="B43" s="13"/>
      <c r="C43" s="233" t="s">
        <v>58</v>
      </c>
      <c r="D43" s="238">
        <v>0</v>
      </c>
      <c r="E43" s="17"/>
      <c r="F43" s="1"/>
      <c r="G43" s="1"/>
      <c r="H43" s="2"/>
      <c r="I43" s="1"/>
      <c r="M43" s="1"/>
      <c r="O43" s="1"/>
      <c r="P43" s="1"/>
      <c r="Q43" s="1"/>
    </row>
    <row r="44" spans="2:18" x14ac:dyDescent="0.2">
      <c r="B44" s="13"/>
      <c r="C44" s="234" t="s">
        <v>48</v>
      </c>
      <c r="D44" s="237">
        <v>0</v>
      </c>
      <c r="E44" s="17"/>
      <c r="F44" s="1"/>
      <c r="G44" s="1"/>
      <c r="H44" s="4"/>
      <c r="I44" s="1"/>
      <c r="M44" s="1"/>
      <c r="O44" s="1"/>
      <c r="P44" s="1"/>
      <c r="Q44" s="1"/>
      <c r="R44" s="1"/>
    </row>
    <row r="45" spans="2:18" x14ac:dyDescent="0.2">
      <c r="B45" s="13"/>
      <c r="C45" s="234" t="s">
        <v>50</v>
      </c>
      <c r="D45" s="243" t="s">
        <v>53</v>
      </c>
      <c r="E45" s="17"/>
      <c r="F45" s="1"/>
      <c r="G45" s="1"/>
      <c r="H45" s="4"/>
      <c r="I45" s="1"/>
      <c r="M45" s="1"/>
      <c r="O45" s="1"/>
      <c r="P45" s="1"/>
      <c r="Q45" s="1"/>
      <c r="R45" s="1"/>
    </row>
    <row r="46" spans="2:18" ht="13.5" thickBot="1" x14ac:dyDescent="0.25">
      <c r="B46" s="13"/>
      <c r="C46" s="103" t="s">
        <v>52</v>
      </c>
      <c r="D46" s="274" t="s">
        <v>53</v>
      </c>
      <c r="E46" s="17"/>
      <c r="F46" s="1"/>
      <c r="G46" s="1"/>
      <c r="H46" s="4"/>
      <c r="I46" s="1"/>
      <c r="M46" s="1"/>
      <c r="O46" s="1"/>
      <c r="P46" s="1"/>
      <c r="Q46" s="1"/>
      <c r="R46" s="1"/>
    </row>
    <row r="47" spans="2:18" ht="13.5" thickBot="1" x14ac:dyDescent="0.25">
      <c r="B47" s="13"/>
      <c r="C47" s="28" t="s">
        <v>4</v>
      </c>
      <c r="D47" s="275">
        <f>D27*D28+D31*D32+D35*D36+D39*D40+D43*D44</f>
        <v>5000</v>
      </c>
      <c r="E47" s="17"/>
      <c r="F47" s="1"/>
      <c r="M47" s="1"/>
      <c r="O47" s="1"/>
      <c r="P47" s="1"/>
      <c r="Q47" s="1"/>
      <c r="R47" s="1"/>
    </row>
    <row r="48" spans="2:18" x14ac:dyDescent="0.2">
      <c r="B48" s="13"/>
      <c r="C48" s="19"/>
      <c r="D48" s="17"/>
      <c r="E48" s="17"/>
      <c r="F48" s="1"/>
      <c r="M48" s="1"/>
      <c r="O48" s="1"/>
      <c r="P48" s="1"/>
      <c r="Q48" s="1"/>
      <c r="R48" s="1"/>
    </row>
    <row r="49" spans="2:18" ht="13.5" thickBot="1" x14ac:dyDescent="0.25">
      <c r="B49" s="13"/>
      <c r="C49" s="14" t="s">
        <v>11</v>
      </c>
      <c r="D49" s="17"/>
      <c r="E49" s="17"/>
      <c r="F49" s="1"/>
      <c r="M49" s="1"/>
      <c r="O49" s="1"/>
      <c r="P49" s="1"/>
      <c r="Q49" s="1"/>
      <c r="R49" s="1"/>
    </row>
    <row r="50" spans="2:18" ht="13.5" thickBot="1" x14ac:dyDescent="0.25">
      <c r="B50" s="13"/>
      <c r="C50" s="31" t="s">
        <v>5</v>
      </c>
      <c r="D50" s="20">
        <v>1500</v>
      </c>
      <c r="E50" s="17"/>
      <c r="F50" s="1"/>
      <c r="M50" s="1"/>
      <c r="O50" s="1"/>
      <c r="P50" s="1"/>
      <c r="Q50" s="1"/>
      <c r="R50" s="1"/>
    </row>
    <row r="51" spans="2:18" ht="15" customHeight="1" thickBot="1" x14ac:dyDescent="0.25">
      <c r="B51" s="13"/>
      <c r="C51" s="19"/>
      <c r="D51" s="17"/>
      <c r="E51" s="17"/>
      <c r="F51" s="1"/>
      <c r="G51" s="1"/>
      <c r="H51" s="1"/>
      <c r="I51" s="1"/>
      <c r="J51" s="1"/>
      <c r="K51" s="1"/>
      <c r="L51" s="1"/>
      <c r="M51" s="1"/>
      <c r="O51" s="1"/>
      <c r="P51" s="1"/>
      <c r="Q51" s="1"/>
      <c r="R51" s="1"/>
    </row>
    <row r="52" spans="2:18" x14ac:dyDescent="0.2">
      <c r="B52" s="13"/>
      <c r="C52" s="236" t="s">
        <v>35</v>
      </c>
      <c r="D52" s="236"/>
      <c r="E52" s="17"/>
      <c r="F52" s="1"/>
      <c r="G52" s="1"/>
      <c r="H52" s="1"/>
      <c r="I52" s="1"/>
      <c r="J52" s="1"/>
      <c r="K52" s="1"/>
      <c r="L52" s="1"/>
      <c r="M52" s="1"/>
      <c r="O52" s="1"/>
      <c r="P52" s="1"/>
      <c r="Q52" s="1"/>
      <c r="R52" s="1"/>
    </row>
    <row r="53" spans="2:18" x14ac:dyDescent="0.2">
      <c r="B53" s="13"/>
      <c r="C53" s="235" t="s">
        <v>117</v>
      </c>
      <c r="D53" s="252">
        <v>84500</v>
      </c>
      <c r="E53" s="17"/>
      <c r="F53" s="1"/>
      <c r="G53" s="1"/>
      <c r="H53" s="1"/>
      <c r="I53" s="1"/>
      <c r="J53" s="1"/>
      <c r="K53" s="1"/>
      <c r="L53" s="1"/>
      <c r="M53" s="1"/>
      <c r="O53" s="1"/>
      <c r="P53" s="1"/>
      <c r="Q53" s="1"/>
      <c r="R53" s="1"/>
    </row>
    <row r="54" spans="2:18" x14ac:dyDescent="0.2">
      <c r="B54" s="13"/>
      <c r="C54" s="234" t="s">
        <v>119</v>
      </c>
      <c r="D54" s="253">
        <v>3</v>
      </c>
      <c r="E54" s="17"/>
      <c r="F54" s="1"/>
      <c r="G54" s="1"/>
      <c r="H54" s="82" t="s">
        <v>125</v>
      </c>
      <c r="I54" s="1"/>
      <c r="J54" s="1"/>
      <c r="K54" s="1"/>
      <c r="L54" s="1"/>
      <c r="M54" s="1"/>
      <c r="O54" s="1"/>
      <c r="P54" s="1"/>
      <c r="Q54" s="1"/>
      <c r="R54" s="1"/>
    </row>
    <row r="55" spans="2:18" x14ac:dyDescent="0.2">
      <c r="B55" s="13"/>
      <c r="C55" s="234" t="s">
        <v>38</v>
      </c>
      <c r="D55" s="239" t="s">
        <v>110</v>
      </c>
      <c r="E55" s="17"/>
      <c r="F55" s="1"/>
      <c r="G55" s="1"/>
      <c r="H55" s="1"/>
      <c r="I55" s="1"/>
      <c r="J55" s="1"/>
      <c r="K55" s="1"/>
      <c r="L55" s="1"/>
      <c r="M55" s="1"/>
      <c r="O55" s="1"/>
      <c r="P55" s="1"/>
      <c r="Q55" s="1"/>
      <c r="R55" s="1"/>
    </row>
    <row r="56" spans="2:18" ht="13.5" thickBot="1" x14ac:dyDescent="0.25">
      <c r="B56" s="13"/>
      <c r="C56" s="102" t="s">
        <v>118</v>
      </c>
      <c r="D56" s="254" t="s">
        <v>126</v>
      </c>
      <c r="E56" s="17"/>
      <c r="F56" s="1"/>
      <c r="G56" s="1"/>
      <c r="H56" s="82" t="s">
        <v>123</v>
      </c>
      <c r="I56" s="1"/>
      <c r="J56" s="1"/>
      <c r="K56" s="1"/>
      <c r="L56" s="1"/>
      <c r="M56" s="1"/>
      <c r="O56" s="1"/>
      <c r="P56" s="1"/>
      <c r="Q56" s="1"/>
      <c r="R56" s="1"/>
    </row>
    <row r="57" spans="2:18" ht="13.5" thickBot="1" x14ac:dyDescent="0.25">
      <c r="B57" s="16"/>
      <c r="C57" s="250"/>
      <c r="D57" s="251"/>
      <c r="E57" s="18"/>
      <c r="F57" s="1"/>
      <c r="G57" s="1"/>
      <c r="H57" s="1"/>
      <c r="I57" s="1"/>
      <c r="J57" s="1"/>
      <c r="K57" s="1"/>
      <c r="L57" s="1"/>
      <c r="M57" s="1"/>
      <c r="O57" s="1"/>
      <c r="P57" s="1"/>
      <c r="Q57" s="1"/>
      <c r="R57" s="1"/>
    </row>
    <row r="58" spans="2:18" x14ac:dyDescent="0.2">
      <c r="B58" s="9"/>
      <c r="C58" s="244"/>
      <c r="D58" s="245"/>
      <c r="E58" s="9"/>
      <c r="F58" s="1"/>
      <c r="G58" s="71"/>
      <c r="H58" s="71"/>
      <c r="I58" s="71"/>
      <c r="J58" s="71"/>
      <c r="K58" s="71"/>
      <c r="L58" s="1"/>
      <c r="M58" s="1"/>
      <c r="O58" s="1"/>
      <c r="P58" s="1"/>
      <c r="Q58" s="1"/>
      <c r="R58" s="1"/>
    </row>
    <row r="59" spans="2:18" x14ac:dyDescent="0.2">
      <c r="B59" s="9"/>
      <c r="C59" s="246"/>
      <c r="D59" s="247"/>
      <c r="E59" s="9"/>
      <c r="F59" s="1"/>
      <c r="G59" s="231"/>
      <c r="H59" s="71"/>
      <c r="I59" s="71"/>
      <c r="J59" s="71"/>
      <c r="K59" s="71"/>
      <c r="L59" s="1"/>
      <c r="M59" s="1"/>
      <c r="O59" s="1"/>
      <c r="P59" s="1"/>
      <c r="Q59" s="1"/>
      <c r="R59" s="1"/>
    </row>
    <row r="60" spans="2:18" x14ac:dyDescent="0.2">
      <c r="B60" s="9"/>
      <c r="C60" s="245"/>
      <c r="D60" s="245"/>
      <c r="E60" s="9"/>
      <c r="F60" s="1"/>
      <c r="G60" s="1"/>
      <c r="H60" s="71"/>
      <c r="I60" s="78"/>
      <c r="J60" s="71"/>
      <c r="K60" s="71"/>
      <c r="L60" s="1"/>
      <c r="M60" s="1"/>
      <c r="O60" s="1"/>
      <c r="P60" s="1"/>
      <c r="Q60" s="1"/>
      <c r="R60" s="1"/>
    </row>
    <row r="61" spans="2:18" x14ac:dyDescent="0.2">
      <c r="B61" s="9"/>
      <c r="C61" s="244"/>
      <c r="D61" s="245"/>
      <c r="E61" s="9"/>
      <c r="F61" s="1"/>
      <c r="G61" s="1"/>
      <c r="H61" s="1"/>
      <c r="I61" s="1"/>
      <c r="J61" s="1"/>
      <c r="K61" s="1"/>
      <c r="L61" s="1"/>
      <c r="M61" s="1"/>
      <c r="O61" s="1"/>
      <c r="P61" s="1"/>
      <c r="Q61" s="1"/>
      <c r="R61" s="1"/>
    </row>
    <row r="62" spans="2:18" x14ac:dyDescent="0.2">
      <c r="B62" s="9"/>
      <c r="C62" s="248"/>
      <c r="D62" s="249"/>
      <c r="E62" s="9"/>
      <c r="F62" s="1"/>
      <c r="G62" s="80"/>
      <c r="H62" s="1"/>
      <c r="I62" s="71"/>
      <c r="J62" s="71"/>
      <c r="K62" s="1"/>
      <c r="L62" s="1"/>
      <c r="M62" s="1"/>
      <c r="O62" s="1"/>
      <c r="P62" s="1"/>
      <c r="Q62" s="1"/>
      <c r="R62" s="1"/>
    </row>
    <row r="63" spans="2:18" x14ac:dyDescent="0.2">
      <c r="B63" s="9"/>
      <c r="C63" s="248"/>
      <c r="D63" s="249"/>
      <c r="E63" s="9"/>
      <c r="F63" s="71"/>
      <c r="G63" s="80"/>
      <c r="H63" s="79"/>
      <c r="I63" s="78"/>
      <c r="J63" s="71"/>
      <c r="K63" s="1"/>
      <c r="L63" s="1"/>
      <c r="M63" s="1"/>
      <c r="O63" s="1"/>
      <c r="P63" s="1"/>
      <c r="Q63" s="1"/>
      <c r="R63" s="1"/>
    </row>
    <row r="64" spans="2:18" x14ac:dyDescent="0.2">
      <c r="B64" s="9"/>
      <c r="C64" s="248"/>
      <c r="D64" s="249"/>
      <c r="E64" s="9"/>
      <c r="F64" s="1"/>
      <c r="G64" s="80"/>
      <c r="H64" s="1"/>
      <c r="I64" s="1"/>
      <c r="J64" s="1"/>
      <c r="K64" s="1"/>
      <c r="L64" s="1"/>
      <c r="M64" s="1"/>
      <c r="O64" s="1"/>
      <c r="P64" s="1"/>
      <c r="Q64" s="1"/>
      <c r="R64" s="1"/>
    </row>
    <row r="65" spans="2:18" x14ac:dyDescent="0.2">
      <c r="B65" s="9"/>
      <c r="C65" s="248"/>
      <c r="D65" s="249"/>
      <c r="E65" s="9"/>
      <c r="F65" s="1"/>
      <c r="G65" s="80"/>
      <c r="H65" s="1"/>
      <c r="I65" s="1"/>
      <c r="J65" s="1"/>
      <c r="K65" s="1"/>
      <c r="L65" s="1"/>
      <c r="M65" s="1"/>
      <c r="O65" s="1"/>
      <c r="P65" s="1"/>
      <c r="Q65" s="1"/>
      <c r="R65" s="1"/>
    </row>
    <row r="66" spans="2:18" x14ac:dyDescent="0.2">
      <c r="B66" s="9"/>
      <c r="C66" s="248"/>
      <c r="D66" s="249"/>
      <c r="E66" s="9"/>
      <c r="F66" s="1"/>
      <c r="G66" s="1"/>
      <c r="H66" s="1"/>
      <c r="I66" s="1"/>
      <c r="J66" s="1"/>
      <c r="K66" s="1"/>
      <c r="L66" s="1"/>
      <c r="M66" s="9"/>
      <c r="N66" s="65"/>
      <c r="O66" s="1"/>
      <c r="P66" s="1"/>
      <c r="Q66" s="1"/>
      <c r="R66" s="1"/>
    </row>
    <row r="67" spans="2:18" x14ac:dyDescent="0.2">
      <c r="B67" s="9"/>
      <c r="C67" s="248"/>
      <c r="D67" s="249"/>
      <c r="E67" s="9"/>
      <c r="F67" s="1"/>
      <c r="G67" s="1"/>
      <c r="H67" s="71"/>
      <c r="I67" s="71"/>
      <c r="J67" s="71"/>
      <c r="K67" s="1"/>
      <c r="L67" s="1"/>
      <c r="M67" s="1"/>
      <c r="O67" s="1"/>
      <c r="P67" s="1"/>
      <c r="Q67" s="1"/>
      <c r="R67" s="1"/>
    </row>
    <row r="68" spans="2:18" x14ac:dyDescent="0.2">
      <c r="B68" s="9"/>
      <c r="C68" s="248"/>
      <c r="D68" s="249"/>
      <c r="E68" s="9"/>
      <c r="F68" s="1"/>
      <c r="G68" s="71"/>
      <c r="H68" s="79"/>
      <c r="I68" s="78"/>
      <c r="J68" s="71"/>
      <c r="K68" s="1"/>
      <c r="L68" s="1"/>
      <c r="M68" s="1"/>
      <c r="O68" s="1"/>
      <c r="P68" s="1"/>
      <c r="Q68" s="1"/>
      <c r="R68" s="1"/>
    </row>
    <row r="69" spans="2:18" x14ac:dyDescent="0.2">
      <c r="B69" s="9"/>
      <c r="C69" s="248"/>
      <c r="D69" s="249"/>
      <c r="E69" s="9"/>
      <c r="F69" s="1"/>
      <c r="G69" s="71"/>
      <c r="H69" s="71"/>
      <c r="I69" s="71"/>
      <c r="J69" s="71"/>
      <c r="K69" s="1"/>
      <c r="L69" s="1"/>
      <c r="M69" s="1"/>
      <c r="O69" s="1"/>
      <c r="P69" s="1"/>
      <c r="Q69" s="1"/>
      <c r="R69" s="1"/>
    </row>
    <row r="70" spans="2:18" x14ac:dyDescent="0.2">
      <c r="B70" s="9"/>
      <c r="C70" s="248"/>
      <c r="D70" s="249"/>
      <c r="E70" s="9"/>
      <c r="F70" s="1"/>
      <c r="G70" s="71"/>
      <c r="H70" s="71"/>
      <c r="I70" s="71"/>
      <c r="J70" s="71"/>
      <c r="K70" s="1"/>
      <c r="L70" s="1"/>
      <c r="M70" s="1"/>
      <c r="O70" s="1"/>
      <c r="P70" s="1"/>
      <c r="Q70" s="1"/>
      <c r="R70" s="1"/>
    </row>
    <row r="71" spans="2:18" x14ac:dyDescent="0.2">
      <c r="B71" s="9"/>
      <c r="C71" s="248"/>
      <c r="D71" s="249"/>
      <c r="E71" s="9"/>
      <c r="F71" s="1"/>
      <c r="G71" s="71"/>
      <c r="H71" s="1"/>
      <c r="I71" s="1"/>
      <c r="J71" s="1"/>
      <c r="K71" s="1"/>
      <c r="L71" s="1"/>
      <c r="M71" s="1"/>
      <c r="O71" s="1"/>
      <c r="P71" s="1"/>
      <c r="Q71" s="1"/>
      <c r="R71" s="1"/>
    </row>
    <row r="72" spans="2:18" x14ac:dyDescent="0.2">
      <c r="B72" s="9"/>
      <c r="C72" s="9"/>
      <c r="D72" s="9"/>
      <c r="E72" s="9"/>
      <c r="F72" s="1"/>
      <c r="G72" s="71"/>
      <c r="H72" s="1"/>
      <c r="I72" s="1"/>
      <c r="J72" s="1"/>
      <c r="K72" s="1"/>
      <c r="L72" s="1"/>
      <c r="M72" s="1"/>
      <c r="O72" s="1"/>
      <c r="P72" s="1"/>
      <c r="Q72" s="1"/>
      <c r="R72" s="1"/>
    </row>
    <row r="73" spans="2:18" x14ac:dyDescent="0.2">
      <c r="B73" s="59"/>
      <c r="C73" s="1"/>
      <c r="D73" s="1"/>
      <c r="E73" s="59"/>
      <c r="M73" s="1"/>
      <c r="O73" s="1"/>
      <c r="P73" s="1"/>
      <c r="Q73" s="1"/>
      <c r="R73" s="1"/>
    </row>
    <row r="74" spans="2:18" x14ac:dyDescent="0.2">
      <c r="B74" s="59"/>
      <c r="C74" s="59"/>
      <c r="D74" s="59"/>
      <c r="E74" s="59"/>
      <c r="M74" s="1"/>
      <c r="O74" s="1"/>
      <c r="P74" s="1"/>
      <c r="Q74" s="1"/>
      <c r="R74" s="1"/>
    </row>
    <row r="75" spans="2:18" x14ac:dyDescent="0.2">
      <c r="B75" s="59"/>
      <c r="C75" s="59"/>
      <c r="D75" s="59"/>
      <c r="E75" s="59"/>
      <c r="M75" s="1"/>
      <c r="O75" s="1"/>
      <c r="P75" s="1"/>
      <c r="Q75" s="1"/>
      <c r="R75" s="1"/>
    </row>
    <row r="76" spans="2:18" x14ac:dyDescent="0.2">
      <c r="B76" s="59"/>
      <c r="C76" s="59"/>
      <c r="D76" s="59"/>
      <c r="E76" s="59"/>
      <c r="M76" s="1"/>
      <c r="O76" s="1"/>
      <c r="P76" s="1"/>
      <c r="Q76" s="1"/>
      <c r="R76" s="1"/>
    </row>
    <row r="77" spans="2:18" x14ac:dyDescent="0.2">
      <c r="B77" s="59"/>
      <c r="C77" s="59"/>
      <c r="D77" s="59"/>
      <c r="E77" s="59"/>
      <c r="M77" s="1"/>
      <c r="O77" s="1"/>
      <c r="P77" s="1"/>
      <c r="Q77" s="1"/>
      <c r="R77" s="1"/>
    </row>
    <row r="78" spans="2:18" x14ac:dyDescent="0.2">
      <c r="B78" s="59"/>
      <c r="C78" s="59"/>
      <c r="D78" s="59"/>
      <c r="E78" s="59"/>
      <c r="M78" s="1"/>
      <c r="O78" s="1"/>
      <c r="P78" s="1"/>
      <c r="Q78" s="1"/>
      <c r="R78" s="1"/>
    </row>
    <row r="79" spans="2:18" x14ac:dyDescent="0.2">
      <c r="B79" s="59"/>
      <c r="C79" s="59"/>
      <c r="D79" s="59"/>
      <c r="E79" s="59"/>
      <c r="M79" s="1"/>
      <c r="O79" s="1"/>
      <c r="P79" s="1"/>
      <c r="Q79" s="1"/>
      <c r="R79" s="1"/>
    </row>
    <row r="80" spans="2:18" x14ac:dyDescent="0.2">
      <c r="B80" s="59"/>
      <c r="C80" s="59"/>
      <c r="D80" s="59"/>
      <c r="E80" s="59"/>
      <c r="M80" s="1"/>
      <c r="O80" s="1"/>
      <c r="P80" s="1"/>
      <c r="Q80" s="1"/>
      <c r="R80" s="1"/>
    </row>
    <row r="81" spans="2:18" x14ac:dyDescent="0.2">
      <c r="B81" s="59"/>
      <c r="C81" s="59"/>
      <c r="D81" s="59"/>
      <c r="E81" s="59"/>
      <c r="M81" s="1"/>
      <c r="O81" s="1"/>
      <c r="P81" s="1"/>
      <c r="Q81" s="1"/>
      <c r="R81" s="1"/>
    </row>
    <row r="82" spans="2:18" x14ac:dyDescent="0.2">
      <c r="B82" s="59"/>
      <c r="C82" s="60"/>
      <c r="D82" s="60"/>
      <c r="M82" s="1"/>
      <c r="O82" s="1"/>
      <c r="P82" s="1"/>
      <c r="Q82" s="1"/>
      <c r="R82" s="1"/>
    </row>
    <row r="83" spans="2:18" x14ac:dyDescent="0.2">
      <c r="M83" s="1"/>
      <c r="O83" s="1"/>
      <c r="P83" s="1"/>
      <c r="Q83" s="1"/>
      <c r="R83" s="1"/>
    </row>
    <row r="84" spans="2:18" x14ac:dyDescent="0.2">
      <c r="M84" s="1"/>
      <c r="O84" s="1"/>
      <c r="P84" s="1"/>
      <c r="Q84" s="1"/>
      <c r="R84" s="1"/>
    </row>
    <row r="85" spans="2:18" x14ac:dyDescent="0.2">
      <c r="M85" s="1"/>
      <c r="O85" s="1"/>
      <c r="P85" s="1"/>
      <c r="Q85" s="1"/>
      <c r="R85" s="1"/>
    </row>
    <row r="86" spans="2:18" x14ac:dyDescent="0.2">
      <c r="M86" s="1"/>
      <c r="O86" s="1"/>
      <c r="P86" s="1"/>
      <c r="Q86" s="1"/>
      <c r="R86" s="1"/>
    </row>
    <row r="87" spans="2:18" x14ac:dyDescent="0.2">
      <c r="M87" s="1"/>
      <c r="O87" s="1"/>
      <c r="P87" s="1"/>
      <c r="Q87" s="1"/>
      <c r="R87" s="1"/>
    </row>
    <row r="88" spans="2:18" x14ac:dyDescent="0.2">
      <c r="M88" s="1"/>
      <c r="O88" s="1"/>
      <c r="P88" s="1"/>
      <c r="Q88" s="1"/>
      <c r="R88" s="1"/>
    </row>
    <row r="89" spans="2:18" hidden="1" x14ac:dyDescent="0.2">
      <c r="M89" s="1"/>
      <c r="O89" s="1"/>
      <c r="P89" s="1"/>
      <c r="Q89" s="1"/>
      <c r="R89" s="1"/>
    </row>
    <row r="90" spans="2:18" x14ac:dyDescent="0.2">
      <c r="M90" s="1"/>
      <c r="O90" s="1"/>
      <c r="P90" s="1"/>
      <c r="Q90" s="1"/>
      <c r="R90" s="1"/>
    </row>
    <row r="91" spans="2:18" x14ac:dyDescent="0.2">
      <c r="M91" s="1"/>
      <c r="O91" s="1"/>
      <c r="P91" s="1"/>
      <c r="Q91" s="1"/>
      <c r="R91" s="1"/>
    </row>
    <row r="92" spans="2:18" x14ac:dyDescent="0.2">
      <c r="M92" s="1"/>
      <c r="O92" s="1"/>
      <c r="P92" s="1"/>
      <c r="Q92" s="1"/>
      <c r="R92" s="1"/>
    </row>
    <row r="93" spans="2:18" x14ac:dyDescent="0.2">
      <c r="M93" s="1"/>
      <c r="O93" s="1"/>
      <c r="P93" s="1"/>
      <c r="Q93" s="1"/>
      <c r="R93" s="1"/>
    </row>
    <row r="94" spans="2:18" x14ac:dyDescent="0.2">
      <c r="E94" s="1"/>
      <c r="M94" s="1"/>
      <c r="O94" s="1"/>
      <c r="P94" s="1"/>
      <c r="Q94" s="1"/>
      <c r="R94" s="1"/>
    </row>
    <row r="95" spans="2:18" x14ac:dyDescent="0.2">
      <c r="C95" s="1"/>
      <c r="D95" s="1"/>
      <c r="M95" s="9"/>
      <c r="N95" s="9"/>
      <c r="O95" s="1"/>
      <c r="P95" s="1"/>
      <c r="Q95" s="1"/>
      <c r="R95" s="1"/>
    </row>
    <row r="96" spans="2:18" x14ac:dyDescent="0.2">
      <c r="M96" s="9"/>
      <c r="N96" s="9"/>
      <c r="O96" s="1"/>
      <c r="P96" s="1"/>
      <c r="Q96" s="1"/>
      <c r="R96" s="1"/>
    </row>
    <row r="97" spans="3:18" x14ac:dyDescent="0.2">
      <c r="M97" s="9"/>
      <c r="N97" s="9"/>
      <c r="O97" s="1"/>
      <c r="P97" s="1"/>
      <c r="Q97" s="1"/>
      <c r="R97" s="1"/>
    </row>
    <row r="98" spans="3:18" x14ac:dyDescent="0.2">
      <c r="M98" s="9"/>
      <c r="N98" s="9"/>
      <c r="O98" s="1"/>
      <c r="P98" s="1"/>
      <c r="Q98" s="1"/>
      <c r="R98" s="1"/>
    </row>
    <row r="99" spans="3:18" x14ac:dyDescent="0.2">
      <c r="M99" s="9"/>
      <c r="N99" s="9"/>
      <c r="O99" s="1"/>
      <c r="P99" s="1"/>
      <c r="Q99" s="1"/>
      <c r="R99" s="1"/>
    </row>
    <row r="100" spans="3:18" x14ac:dyDescent="0.2">
      <c r="M100" s="9"/>
      <c r="N100" s="9"/>
      <c r="O100" s="1"/>
      <c r="P100" s="1"/>
      <c r="Q100" s="1"/>
      <c r="R100" s="1"/>
    </row>
    <row r="101" spans="3:18" x14ac:dyDescent="0.2">
      <c r="M101" s="9"/>
      <c r="N101" s="9"/>
      <c r="O101" s="1"/>
      <c r="P101" s="1"/>
      <c r="Q101" s="1"/>
      <c r="R101" s="1"/>
    </row>
    <row r="102" spans="3:18" x14ac:dyDescent="0.2">
      <c r="M102" s="9"/>
      <c r="N102" s="9"/>
      <c r="O102" s="1"/>
      <c r="P102" s="1"/>
      <c r="Q102" s="1"/>
      <c r="R102" s="1"/>
    </row>
    <row r="103" spans="3:18" x14ac:dyDescent="0.2">
      <c r="M103" s="9"/>
      <c r="N103" s="9"/>
      <c r="O103" s="1"/>
      <c r="P103" s="1"/>
      <c r="Q103" s="1"/>
      <c r="R103" s="1"/>
    </row>
    <row r="104" spans="3:18" x14ac:dyDescent="0.2">
      <c r="M104" s="9"/>
      <c r="N104" s="9"/>
      <c r="O104" s="1"/>
      <c r="P104" s="1"/>
      <c r="Q104" s="1"/>
      <c r="R104" s="1"/>
    </row>
    <row r="105" spans="3:18" x14ac:dyDescent="0.2">
      <c r="M105" s="9"/>
      <c r="N105" s="9"/>
      <c r="O105" s="1"/>
      <c r="P105" s="1"/>
      <c r="Q105" s="1"/>
      <c r="R105" s="1"/>
    </row>
    <row r="106" spans="3:18" x14ac:dyDescent="0.2">
      <c r="M106" s="9"/>
      <c r="N106" s="9"/>
    </row>
    <row r="107" spans="3:18" x14ac:dyDescent="0.2">
      <c r="M107" s="9"/>
      <c r="N107" s="9"/>
    </row>
    <row r="108" spans="3:18" x14ac:dyDescent="0.2">
      <c r="E108" s="1"/>
      <c r="M108" s="9"/>
      <c r="N108" s="9"/>
    </row>
    <row r="109" spans="3:18" x14ac:dyDescent="0.2">
      <c r="C109" s="1"/>
      <c r="D109" s="1"/>
      <c r="E109" s="1"/>
      <c r="M109" s="9"/>
      <c r="N109" s="9"/>
    </row>
    <row r="110" spans="3:18" x14ac:dyDescent="0.2">
      <c r="C110" s="1"/>
      <c r="D110" s="1"/>
      <c r="E110" s="1"/>
      <c r="M110" s="9"/>
      <c r="N110" s="9"/>
    </row>
    <row r="111" spans="3:18" x14ac:dyDescent="0.2">
      <c r="C111" s="1"/>
      <c r="D111" s="1"/>
      <c r="E111" s="1"/>
      <c r="M111" s="9"/>
      <c r="N111" s="9"/>
    </row>
    <row r="112" spans="3:18" x14ac:dyDescent="0.2">
      <c r="C112" s="1"/>
      <c r="D112" s="1"/>
      <c r="E112" s="1"/>
      <c r="M112" s="9"/>
      <c r="N112" s="9"/>
    </row>
    <row r="113" spans="3:14" x14ac:dyDescent="0.2">
      <c r="C113" s="1"/>
      <c r="D113" s="1"/>
      <c r="E113" s="1"/>
      <c r="M113" s="9"/>
      <c r="N113" s="9"/>
    </row>
    <row r="114" spans="3:14" x14ac:dyDescent="0.2">
      <c r="C114" s="1"/>
      <c r="D114" s="1"/>
      <c r="E114" s="1"/>
      <c r="M114" s="9"/>
      <c r="N114" s="9"/>
    </row>
    <row r="115" spans="3:14" x14ac:dyDescent="0.2">
      <c r="C115" s="1"/>
      <c r="D115" s="1"/>
      <c r="E115" s="1"/>
      <c r="M115" s="9"/>
      <c r="N115" s="9"/>
    </row>
    <row r="116" spans="3:14" x14ac:dyDescent="0.2">
      <c r="C116" s="1"/>
      <c r="D116" s="1"/>
      <c r="E116" s="1"/>
      <c r="M116" s="9"/>
      <c r="N116" s="9"/>
    </row>
    <row r="117" spans="3:14" x14ac:dyDescent="0.2">
      <c r="C117" s="1"/>
      <c r="D117" s="1"/>
      <c r="E117" s="1"/>
      <c r="M117" s="9"/>
      <c r="N117" s="9"/>
    </row>
    <row r="118" spans="3:14" x14ac:dyDescent="0.2">
      <c r="C118" s="1"/>
      <c r="D118" s="1"/>
      <c r="E118" s="1"/>
      <c r="M118" s="9"/>
      <c r="N118" s="9"/>
    </row>
    <row r="119" spans="3:14" x14ac:dyDescent="0.2">
      <c r="C119" s="1"/>
      <c r="D119" s="1"/>
      <c r="E119" s="1"/>
      <c r="M119" s="9"/>
      <c r="N119" s="9"/>
    </row>
    <row r="120" spans="3:14" x14ac:dyDescent="0.2">
      <c r="C120" s="1"/>
      <c r="D120" s="1"/>
      <c r="E120" s="1"/>
    </row>
    <row r="121" spans="3:14" x14ac:dyDescent="0.2">
      <c r="C121" s="1"/>
      <c r="D121" s="1"/>
      <c r="E121" s="1"/>
    </row>
    <row r="122" spans="3:14" x14ac:dyDescent="0.2">
      <c r="C122" s="1"/>
      <c r="D122" s="1"/>
      <c r="E122" s="1"/>
    </row>
    <row r="123" spans="3:14" x14ac:dyDescent="0.2">
      <c r="C123" s="1"/>
      <c r="D123" s="1"/>
    </row>
    <row r="124" spans="3:14" x14ac:dyDescent="0.2">
      <c r="C124" s="1"/>
      <c r="D124" s="1"/>
    </row>
    <row r="125" spans="3:14" x14ac:dyDescent="0.2">
      <c r="C125" s="1"/>
      <c r="D125" s="1"/>
    </row>
  </sheetData>
  <conditionalFormatting sqref="H11">
    <cfRule type="expression" priority="169">
      <formula>IF(D19&gt;$D$21,TRUE,FALSE)</formula>
    </cfRule>
  </conditionalFormatting>
  <conditionalFormatting sqref="H13">
    <cfRule type="expression" priority="170">
      <formula>IF(D15&gt;$D$21,TRUE,FALSE)</formula>
    </cfRule>
  </conditionalFormatting>
  <conditionalFormatting sqref="H10 H12">
    <cfRule type="expression" priority="172">
      <formula>IF(#REF!&gt;$D$21,TRUE,FALSE)</formula>
    </cfRule>
  </conditionalFormatting>
  <conditionalFormatting sqref="H16">
    <cfRule type="expression" priority="174">
      <formula>IF(#REF!&gt;$D$21,TRUE,FALSE)</formula>
    </cfRule>
  </conditionalFormatting>
  <conditionalFormatting sqref="H14">
    <cfRule type="expression" priority="175">
      <formula>IF(#REF!&gt;$D$21,TRUE,FALSE)</formula>
    </cfRule>
  </conditionalFormatting>
  <conditionalFormatting sqref="H11">
    <cfRule type="expression" priority="176">
      <formula>IF(#REF!&gt;$D$21,TRUE,FALSE)</formula>
    </cfRule>
  </conditionalFormatting>
  <conditionalFormatting sqref="H13">
    <cfRule type="expression" priority="177">
      <formula>IF(#REF!&gt;$D$21,TRUE,FALSE)</formula>
    </cfRule>
  </conditionalFormatting>
  <conditionalFormatting sqref="H7:H12">
    <cfRule type="expression" priority="178">
      <formula>IF(#REF!&gt;$D$21,TRUE,FALSE)</formula>
    </cfRule>
  </conditionalFormatting>
  <conditionalFormatting sqref="H14">
    <cfRule type="expression" priority="180">
      <formula>IF(#REF!&gt;$D$21,TRUE,FALSE)</formula>
    </cfRule>
  </conditionalFormatting>
  <conditionalFormatting sqref="H7">
    <cfRule type="expression" priority="181">
      <formula>IF(D10&gt;$D$21,TRUE,FALSE)</formula>
    </cfRule>
  </conditionalFormatting>
  <conditionalFormatting sqref="H8:H9">
    <cfRule type="expression" priority="182">
      <formula>IF(D12&gt;$D$21,TRUE,FALSE)</formula>
    </cfRule>
  </conditionalFormatting>
  <conditionalFormatting sqref="H16">
    <cfRule type="expression" priority="183">
      <formula>IF(#REF!&gt;$D$21,TRUE,FALSE)</formula>
    </cfRule>
  </conditionalFormatting>
  <pageMargins left="0.25" right="0.25" top="0.75" bottom="0.75" header="0.3" footer="0.3"/>
  <pageSetup paperSize="9" scale="70" orientation="portrait" r:id="rId1"/>
  <headerFooter alignWithMargins="0">
    <oddHeader>&amp;LFil: &amp;F&amp;CLönkalk 3.0 version 2016-04-01&amp;RUtförd: &amp;D</oddHeader>
    <oddFooter>&amp;C&amp;P(&amp;N)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921709B-862F-4C84-A0F4-66CECBD5AB9C}">
          <x14:formula1>
            <xm:f>'Index och uppräkningsfaktorer'!$K$1:$L$1</xm:f>
          </x14:formula1>
          <xm:sqref>D55</xm:sqref>
        </x14:dataValidation>
        <x14:dataValidation type="list" allowBlank="1" showInputMessage="1" showErrorMessage="1" xr:uid="{FEF230E5-7239-4EE3-AD80-4A2534525E46}">
          <x14:formula1>
            <xm:f>'Index och uppräkningsfaktorer'!$K$6:$K$7</xm:f>
          </x14:formula1>
          <xm:sqref>D29:D30 D33:D34 D37:D38 D41:D42 D45:D46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5080A-731A-4CF0-B0E2-1B9928E4A484}">
  <dimension ref="A2:R121"/>
  <sheetViews>
    <sheetView workbookViewId="0">
      <selection activeCell="M6" sqref="M6"/>
    </sheetView>
  </sheetViews>
  <sheetFormatPr defaultRowHeight="12.75" x14ac:dyDescent="0.2"/>
  <cols>
    <col min="1" max="1" width="4.42578125" style="29" customWidth="1"/>
    <col min="2" max="2" width="5.7109375" style="29" bestFit="1" customWidth="1"/>
    <col min="3" max="3" width="13" style="29" customWidth="1"/>
    <col min="4" max="4" width="13.7109375" style="29" customWidth="1"/>
    <col min="5" max="5" width="11.5703125" style="24" customWidth="1"/>
    <col min="6" max="11" width="14.85546875" style="24" customWidth="1"/>
    <col min="12" max="12" width="11.85546875" style="29" customWidth="1"/>
    <col min="13" max="13" width="11.140625" style="24" customWidth="1"/>
    <col min="14" max="15" width="11" style="24" customWidth="1"/>
  </cols>
  <sheetData>
    <row r="2" spans="1:18" ht="18" x14ac:dyDescent="0.25">
      <c r="A2" s="3" t="s">
        <v>9</v>
      </c>
      <c r="B2" s="5"/>
      <c r="C2" s="5"/>
      <c r="D2" s="5"/>
      <c r="E2" s="7"/>
      <c r="F2" s="7"/>
      <c r="G2" s="7"/>
      <c r="H2" s="7"/>
      <c r="I2" s="7"/>
      <c r="J2" s="7"/>
      <c r="K2" s="7"/>
      <c r="L2" s="5"/>
      <c r="M2" s="7"/>
      <c r="N2" s="7"/>
      <c r="O2" s="7"/>
    </row>
    <row r="3" spans="1:18" x14ac:dyDescent="0.2">
      <c r="A3" s="5"/>
      <c r="B3" s="5"/>
      <c r="C3" s="5"/>
      <c r="D3" s="5"/>
      <c r="E3" s="7"/>
      <c r="F3" s="2"/>
      <c r="G3" s="2"/>
      <c r="H3" s="2"/>
      <c r="I3" s="2"/>
      <c r="J3" s="2"/>
      <c r="K3" s="2"/>
      <c r="L3" s="2"/>
      <c r="M3" s="2"/>
      <c r="N3" s="7"/>
      <c r="O3" s="7"/>
    </row>
    <row r="4" spans="1:18" ht="34.5" thickBot="1" x14ac:dyDescent="0.25">
      <c r="A4" s="263"/>
      <c r="B4" s="264"/>
      <c r="C4" s="265" t="s">
        <v>1</v>
      </c>
      <c r="D4" s="265" t="s">
        <v>13</v>
      </c>
      <c r="E4" s="266" t="s">
        <v>14</v>
      </c>
      <c r="F4" s="267" t="s">
        <v>25</v>
      </c>
      <c r="G4" s="267" t="s">
        <v>26</v>
      </c>
      <c r="H4" s="267" t="s">
        <v>27</v>
      </c>
      <c r="I4" s="267" t="s">
        <v>28</v>
      </c>
      <c r="J4" s="267" t="s">
        <v>29</v>
      </c>
      <c r="K4" s="267" t="s">
        <v>10</v>
      </c>
      <c r="L4" s="267" t="s">
        <v>30</v>
      </c>
      <c r="M4" s="268" t="s">
        <v>60</v>
      </c>
      <c r="N4" s="268" t="s">
        <v>61</v>
      </c>
      <c r="O4" s="269" t="s">
        <v>59</v>
      </c>
    </row>
    <row r="5" spans="1:18" ht="13.5" thickBot="1" x14ac:dyDescent="0.25">
      <c r="A5" s="96" t="s">
        <v>17</v>
      </c>
      <c r="B5" s="89"/>
      <c r="C5" s="89"/>
      <c r="D5" s="90"/>
      <c r="E5" s="91"/>
      <c r="F5" s="92">
        <f>SUMIFS(F:F,$B:$B,"&gt;="&amp;Diskonteringsverktyg!$D$20,$B:$B,"&lt;="&amp;Diskonteringsverktyg!$D$20+Diskonteringsverktyg!$D$19-1)</f>
        <v>623893.14542329952</v>
      </c>
      <c r="G5" s="92">
        <f>SUMIFS(G:G,$B:$B,"&gt;="&amp;Diskonteringsverktyg!$D$20,$B:$B,"&lt;="&amp;Diskonteringsverktyg!$D$20+Diskonteringsverktyg!$D$19-1)</f>
        <v>0</v>
      </c>
      <c r="H5" s="92">
        <f>SUMIFS(H:H,$B:$B,"&gt;="&amp;Diskonteringsverktyg!$D$20,$B:$B,"&lt;="&amp;Diskonteringsverktyg!$D$20+Diskonteringsverktyg!$D$19-1)</f>
        <v>0</v>
      </c>
      <c r="I5" s="92">
        <f>SUMIFS(I:I,$B:$B,"&gt;="&amp;Diskonteringsverktyg!$D$20,$B:$B,"&lt;="&amp;Diskonteringsverktyg!$D$20+Diskonteringsverktyg!$D$19-1)</f>
        <v>0</v>
      </c>
      <c r="J5" s="92">
        <f>SUMIFS(J:J,$B:$B,"&gt;="&amp;Diskonteringsverktyg!$D$20,$B:$B,"&lt;="&amp;Diskonteringsverktyg!$D$20+Diskonteringsverktyg!$D$19-1)</f>
        <v>0</v>
      </c>
      <c r="K5" s="92">
        <f>SUMIFS(K:K,$B:$B,"&gt;="&amp;Diskonteringsverktyg!$D$20,$B:$B,"&lt;="&amp;Diskonteringsverktyg!$D$20+Diskonteringsverktyg!$D$19-1)</f>
        <v>623893.14542329952</v>
      </c>
      <c r="L5" s="92">
        <f>SUMIFS(L:L,$B:$B,"&gt;="&amp;Diskonteringsverktyg!$D$20,$B:$B,"&lt;="&amp;Diskonteringsverktyg!$D$20+Diskonteringsverktyg!$D$19-1)</f>
        <v>216707.51062333747</v>
      </c>
      <c r="M5" s="92">
        <f>SUMIFS(M:M,$B:$B,"&gt;="&amp;Diskonteringsverktyg!$D$20,$B:$B,"&lt;="&amp;Diskonteringsverktyg!$D$20+Diskonteringsverktyg!$D$19-1)</f>
        <v>134569.67172338787</v>
      </c>
      <c r="N5" s="92">
        <f>SUMIFS(N:N,$B:$B,"&gt;="&amp;Diskonteringsverktyg!$D$20,$B:$B,"&lt;="&amp;Diskonteringsverktyg!$D$20+Diskonteringsverktyg!$D$19-1)</f>
        <v>48712.583687251354</v>
      </c>
      <c r="O5" s="93">
        <f>SUM(O6:O81)</f>
        <v>73917.975366952072</v>
      </c>
      <c r="Q5" s="67"/>
      <c r="R5" s="66"/>
    </row>
    <row r="6" spans="1:18" x14ac:dyDescent="0.2">
      <c r="A6" s="97">
        <v>0</v>
      </c>
      <c r="B6" s="90">
        <f>Diskonteringsverktyg!$D$12+A6</f>
        <v>2028</v>
      </c>
      <c r="C6" s="74">
        <f>1/(Diskonteringsverktyg!$D$9)^(B6-Diskonteringsverktyg!$D$10)</f>
        <v>1</v>
      </c>
      <c r="D6" s="75">
        <f>IF(B6&lt;=Diskonteringsverktyg!$D$15,Diskonteringsverktyg!$D$21^(B6-Diskonteringsverktyg!$D$24),IF(AND(B6&gt;Diskonteringsverktyg!$D$15,B6&lt;=Diskonteringsverktyg!$D$16),Diskonteringsverktyg!$D$21^(Diskonteringsverktyg!$D$15-Diskonteringsverktyg!$D$24)*Diskonteringsverktyg!$D$22^(B6-Diskonteringsverktyg!$D$15),D5))</f>
        <v>1.0936852726843611</v>
      </c>
      <c r="E6" s="75">
        <f>IF(B6&lt;=Diskonteringsverktyg!$D$16,(Diskonteringsverktyg!$D$13)^(B6-Diskonteringsverktyg!$D$23),E5)</f>
        <v>1.1083909827862339</v>
      </c>
      <c r="F6" s="76">
        <f>IF(AND(Diskonteringsverktyg!$D$29="Ja",Diskonteringsverktyg!$D$30="Ja"),$D6*$E6*Diskonteringsverktyg!$D$27*Diskonteringsverktyg!$D$28,IF(AND(Diskonteringsverktyg!$D$29="Ja",Diskonteringsverktyg!$D$30="Nej"),$E6*Diskonteringsverktyg!$D$27*Diskonteringsverktyg!$D$28,IF(AND(Diskonteringsverktyg!$D$29="Nej",Diskonteringsverktyg!$D$30="Ja"),$D6*Diskonteringsverktyg!$D$27*Diskonteringsverktyg!$D$28,Diskonteringsverktyg!$D$27*Diskonteringsverktyg!$D$28)))</f>
        <v>6061.1544712472469</v>
      </c>
      <c r="G6" s="76">
        <f>IF(AND(Diskonteringsverktyg!$D$33="Ja",Diskonteringsverktyg!$D$34="Ja"),$D6*$E6*Diskonteringsverktyg!$D$31*Diskonteringsverktyg!$D$32,IF(AND(Diskonteringsverktyg!$D$33="Ja",Diskonteringsverktyg!$D$34="Nej"),$E6*Diskonteringsverktyg!$D$31*Diskonteringsverktyg!$D$32,IF(AND(Diskonteringsverktyg!$D$33="Nej",Diskonteringsverktyg!$D$34="Ja"),$D6*Diskonteringsverktyg!$D$31*Diskonteringsverktyg!$D$32,Diskonteringsverktyg!$D$31*Diskonteringsverktyg!$D$32)))</f>
        <v>0</v>
      </c>
      <c r="H6" s="76">
        <f>IF(AND(Diskonteringsverktyg!$D$37="Ja",Diskonteringsverktyg!$D$38="Ja"),$D6*$E6*Diskonteringsverktyg!$D$35*Diskonteringsverktyg!$D$36,IF(AND(Diskonteringsverktyg!$D$37="Ja",Diskonteringsverktyg!$D$38="Nej"),$E6*Diskonteringsverktyg!$D$35*Diskonteringsverktyg!$D$36,IF(AND(Diskonteringsverktyg!$D$37="Nej",Diskonteringsverktyg!$D$38="Ja"),$D6*Diskonteringsverktyg!$D$35*Diskonteringsverktyg!$D$36,Diskonteringsverktyg!$D$35*Diskonteringsverktyg!$D$36)))</f>
        <v>0</v>
      </c>
      <c r="I6" s="76">
        <f>IF(AND(Diskonteringsverktyg!$D$41="Ja",Diskonteringsverktyg!$D$42="Ja"),$D6*$E6*Diskonteringsverktyg!$D$39*Diskonteringsverktyg!$D$40,IF(AND(Diskonteringsverktyg!$D$41="Ja",Diskonteringsverktyg!$D$42="Nej"),$E6*Diskonteringsverktyg!$D$39*Diskonteringsverktyg!$D$40,IF(AND(Diskonteringsverktyg!$D$41="Nej",Diskonteringsverktyg!$D$42="Ja"),$D6*Diskonteringsverktyg!$D$39*Diskonteringsverktyg!$D$40,Diskonteringsverktyg!$D$39*Diskonteringsverktyg!$D$40)))</f>
        <v>0</v>
      </c>
      <c r="J6" s="76">
        <f>IF(AND(Diskonteringsverktyg!$D$45="Ja",Diskonteringsverktyg!$D$46="Ja"),$D6*$E6*Diskonteringsverktyg!$D$43*Diskonteringsverktyg!$D$44,IF(AND(Diskonteringsverktyg!$D$45="Ja",Diskonteringsverktyg!$D$46="Nej"),$E6*Diskonteringsverktyg!$D$43*Diskonteringsverktyg!$D$44,IF(AND(Diskonteringsverktyg!$D$45="Nej",Diskonteringsverktyg!$D$46="Ja"),$D6*Diskonteringsverktyg!$D$43*Diskonteringsverktyg!$D$44,Diskonteringsverktyg!$D$43*Diskonteringsverktyg!$D$44)))</f>
        <v>0</v>
      </c>
      <c r="K6" s="76">
        <f>SUM(F6:J6)</f>
        <v>6061.1544712472469</v>
      </c>
      <c r="L6" s="76">
        <f>K6*C6</f>
        <v>6061.1544712472469</v>
      </c>
      <c r="M6" s="76">
        <f>IF((B6&lt;=Diskonteringsverktyg!$D$16),Diskonteringsverktyg!$D$50*Diskonteringsverktyg!$D$14^(B6-Diskonteringsverktyg!$D$11),M5)</f>
        <v>1655.2045038119099</v>
      </c>
      <c r="N6" s="76">
        <f>M6*C6</f>
        <v>1655.2045038119099</v>
      </c>
      <c r="O6" s="77">
        <f>'Nuvärde inv kost'!F15</f>
        <v>18898.243937333042</v>
      </c>
      <c r="Q6" s="67"/>
      <c r="R6" s="66"/>
    </row>
    <row r="7" spans="1:18" x14ac:dyDescent="0.2">
      <c r="A7" s="97">
        <v>1</v>
      </c>
      <c r="B7" s="88">
        <f>Diskonteringsverktyg!$D$12+A7</f>
        <v>2029</v>
      </c>
      <c r="C7" s="22">
        <f>1/(Diskonteringsverktyg!$D$9)^(B7-Diskonteringsverktyg!$D$10)</f>
        <v>0.96618357487922713</v>
      </c>
      <c r="D7" s="21">
        <f>IF(B7&lt;=Diskonteringsverktyg!$D$15,Diskonteringsverktyg!$D$21^(B7-Diskonteringsverktyg!$D$24),IF(AND(B7&gt;Diskonteringsverktyg!$D$15,B7&lt;=Diskonteringsverktyg!$D$16),Diskonteringsverktyg!$D$21^(Diskonteringsverktyg!$D$15-Diskonteringsverktyg!$D$24)*Diskonteringsverktyg!$D$22^(B7-Diskonteringsverktyg!$D$15),D6))</f>
        <v>1.1046221254112047</v>
      </c>
      <c r="E7" s="21">
        <f>IF(B7&lt;=Diskonteringsverktyg!$D$16,(Diskonteringsverktyg!$D$13)^(B7-Diskonteringsverktyg!$D$23),E6)</f>
        <v>1.1211374790882758</v>
      </c>
      <c r="F7" s="23">
        <f>IF(AND(Diskonteringsverktyg!$D$29="Ja",Diskonteringsverktyg!$D$30="Ja"),$D7*$E7*Diskonteringsverktyg!$D$27*Diskonteringsverktyg!$D$28,IF(AND(Diskonteringsverktyg!$D$29="Ja",Diskonteringsverktyg!$D$30="Nej"),$E7*Diskonteringsverktyg!$D$27*Diskonteringsverktyg!$D$28,IF(AND(Diskonteringsverktyg!$D$29="Nej",Diskonteringsverktyg!$D$30="Ja"),$D7*Diskonteringsverktyg!$D$27*Diskonteringsverktyg!$D$28,Diskonteringsverktyg!$D$27*Diskonteringsverktyg!$D$28)))</f>
        <v>6192.1663251432565</v>
      </c>
      <c r="G7" s="23">
        <f>IF(AND(Diskonteringsverktyg!$D$33="Ja",Diskonteringsverktyg!$D$34="Ja"),$D7*$E7*Diskonteringsverktyg!$D$31*Diskonteringsverktyg!$D$32,IF(AND(Diskonteringsverktyg!$D$33="Ja",Diskonteringsverktyg!$D$34="Nej"),$E7*Diskonteringsverktyg!$D$31*Diskonteringsverktyg!$D$32,IF(AND(Diskonteringsverktyg!$D$33="Nej",Diskonteringsverktyg!$D$34="Ja"),$D7*Diskonteringsverktyg!$D$31*Diskonteringsverktyg!$D$32,Diskonteringsverktyg!$D$31*Diskonteringsverktyg!$D$32)))</f>
        <v>0</v>
      </c>
      <c r="H7" s="23">
        <f>IF(AND(Diskonteringsverktyg!$D$37="Ja",Diskonteringsverktyg!$D$38="Ja"),$D7*$E7*Diskonteringsverktyg!$D$35*Diskonteringsverktyg!$D$36,IF(AND(Diskonteringsverktyg!$D$37="Ja",Diskonteringsverktyg!$D$38="Nej"),$E7*Diskonteringsverktyg!$D$35*Diskonteringsverktyg!$D$36,IF(AND(Diskonteringsverktyg!$D$37="Nej",Diskonteringsverktyg!$D$38="Ja"),$D7*Diskonteringsverktyg!$D$35*Diskonteringsverktyg!$D$36,Diskonteringsverktyg!$D$35*Diskonteringsverktyg!$D$36)))</f>
        <v>0</v>
      </c>
      <c r="I7" s="23">
        <f>IF(AND(Diskonteringsverktyg!$D$41="Ja",Diskonteringsverktyg!$D$42="Ja"),$D7*$E7*Diskonteringsverktyg!$D$39*Diskonteringsverktyg!$D$40,IF(AND(Diskonteringsverktyg!$D$41="Ja",Diskonteringsverktyg!$D$42="Nej"),$E7*Diskonteringsverktyg!$D$39*Diskonteringsverktyg!$D$40,IF(AND(Diskonteringsverktyg!$D$41="Nej",Diskonteringsverktyg!$D$42="Ja"),$D7*Diskonteringsverktyg!$D$39*Diskonteringsverktyg!$D$40,Diskonteringsverktyg!$D$39*Diskonteringsverktyg!$D$40)))</f>
        <v>0</v>
      </c>
      <c r="J7" s="23">
        <f>IF(AND(Diskonteringsverktyg!$D$45="Ja",Diskonteringsverktyg!$D$46="Ja"),$D7*$E7*Diskonteringsverktyg!$D$43*Diskonteringsverktyg!$D$44,IF(AND(Diskonteringsverktyg!$D$45="Ja",Diskonteringsverktyg!$D$46="Nej"),$E7*Diskonteringsverktyg!$D$43*Diskonteringsverktyg!$D$44,IF(AND(Diskonteringsverktyg!$D$45="Nej",Diskonteringsverktyg!$D$46="Ja"),$D7*Diskonteringsverktyg!$D$43*Diskonteringsverktyg!$D$44,Diskonteringsverktyg!$D$43*Diskonteringsverktyg!$D$44)))</f>
        <v>0</v>
      </c>
      <c r="K7" s="23">
        <f t="shared" ref="K7:K70" si="0">SUM(F7:J7)</f>
        <v>6192.1663251432565</v>
      </c>
      <c r="L7" s="23">
        <f t="shared" ref="L7:L70" si="1">K7*C7</f>
        <v>5982.7693962736785</v>
      </c>
      <c r="M7" s="23">
        <f>IF((B7&lt;=Diskonteringsverktyg!$D$16),Diskonteringsverktyg!$D$50*Diskonteringsverktyg!$D$14^(B7-Diskonteringsverktyg!$D$11),M6)</f>
        <v>1673.4117533538408</v>
      </c>
      <c r="N7" s="23">
        <f t="shared" ref="N7:N70" si="2">M7*C7</f>
        <v>1616.8229501003293</v>
      </c>
      <c r="O7" s="30">
        <f>'Nuvärde inv kost'!F16</f>
        <v>36954.296197166499</v>
      </c>
      <c r="Q7" s="67"/>
      <c r="R7" s="66"/>
    </row>
    <row r="8" spans="1:18" x14ac:dyDescent="0.2">
      <c r="A8" s="97">
        <v>2</v>
      </c>
      <c r="B8" s="88">
        <f>Diskonteringsverktyg!$D$12+A8</f>
        <v>2030</v>
      </c>
      <c r="C8" s="22">
        <f>1/(Diskonteringsverktyg!$D$9)^(B8-Diskonteringsverktyg!$D$10)</f>
        <v>0.93351070036640305</v>
      </c>
      <c r="D8" s="21">
        <f>IF(B8&lt;=Diskonteringsverktyg!$D$15,Diskonteringsverktyg!$D$21^(B8-Diskonteringsverktyg!$D$24),IF(AND(B8&gt;Diskonteringsverktyg!$D$15,B8&lt;=Diskonteringsverktyg!$D$16),Diskonteringsverktyg!$D$21^(Diskonteringsverktyg!$D$15-Diskonteringsverktyg!$D$24)*Diskonteringsverktyg!$D$22^(B8-Diskonteringsverktyg!$D$15),D7))</f>
        <v>1.1156683466653166</v>
      </c>
      <c r="E8" s="21">
        <f>IF(B8&lt;=Diskonteringsverktyg!$D$16,(Diskonteringsverktyg!$D$13)^(B8-Diskonteringsverktyg!$D$23),E7)</f>
        <v>1.1340305600977909</v>
      </c>
      <c r="F8" s="23">
        <f>IF(AND(Diskonteringsverktyg!$D$29="Ja",Diskonteringsverktyg!$D$30="Ja"),$D8*$E8*Diskonteringsverktyg!$D$27*Diskonteringsverktyg!$D$28,IF(AND(Diskonteringsverktyg!$D$29="Ja",Diskonteringsverktyg!$D$30="Nej"),$E8*Diskonteringsverktyg!$D$27*Diskonteringsverktyg!$D$28,IF(AND(Diskonteringsverktyg!$D$29="Nej",Diskonteringsverktyg!$D$30="Ja"),$D8*Diskonteringsverktyg!$D$27*Diskonteringsverktyg!$D$28,Diskonteringsverktyg!$D$27*Diskonteringsverktyg!$D$28)))</f>
        <v>6326.0100002612262</v>
      </c>
      <c r="G8" s="23">
        <f>IF(AND(Diskonteringsverktyg!$D$33="Ja",Diskonteringsverktyg!$D$34="Ja"),$D8*$E8*Diskonteringsverktyg!$D$31*Diskonteringsverktyg!$D$32,IF(AND(Diskonteringsverktyg!$D$33="Ja",Diskonteringsverktyg!$D$34="Nej"),$E8*Diskonteringsverktyg!$D$31*Diskonteringsverktyg!$D$32,IF(AND(Diskonteringsverktyg!$D$33="Nej",Diskonteringsverktyg!$D$34="Ja"),$D8*Diskonteringsverktyg!$D$31*Diskonteringsverktyg!$D$32,Diskonteringsverktyg!$D$31*Diskonteringsverktyg!$D$32)))</f>
        <v>0</v>
      </c>
      <c r="H8" s="23">
        <f>IF(AND(Diskonteringsverktyg!$D$37="Ja",Diskonteringsverktyg!$D$38="Ja"),$D8*$E8*Diskonteringsverktyg!$D$35*Diskonteringsverktyg!$D$36,IF(AND(Diskonteringsverktyg!$D$37="Ja",Diskonteringsverktyg!$D$38="Nej"),$E8*Diskonteringsverktyg!$D$35*Diskonteringsverktyg!$D$36,IF(AND(Diskonteringsverktyg!$D$37="Nej",Diskonteringsverktyg!$D$38="Ja"),$D8*Diskonteringsverktyg!$D$35*Diskonteringsverktyg!$D$36,Diskonteringsverktyg!$D$35*Diskonteringsverktyg!$D$36)))</f>
        <v>0</v>
      </c>
      <c r="I8" s="23">
        <f>IF(AND(Diskonteringsverktyg!$D$41="Ja",Diskonteringsverktyg!$D$42="Ja"),$D8*$E8*Diskonteringsverktyg!$D$39*Diskonteringsverktyg!$D$40,IF(AND(Diskonteringsverktyg!$D$41="Ja",Diskonteringsverktyg!$D$42="Nej"),$E8*Diskonteringsverktyg!$D$39*Diskonteringsverktyg!$D$40,IF(AND(Diskonteringsverktyg!$D$41="Nej",Diskonteringsverktyg!$D$42="Ja"),$D8*Diskonteringsverktyg!$D$39*Diskonteringsverktyg!$D$40,Diskonteringsverktyg!$D$39*Diskonteringsverktyg!$D$40)))</f>
        <v>0</v>
      </c>
      <c r="J8" s="23">
        <f>IF(AND(Diskonteringsverktyg!$D$45="Ja",Diskonteringsverktyg!$D$46="Ja"),$D8*$E8*Diskonteringsverktyg!$D$43*Diskonteringsverktyg!$D$44,IF(AND(Diskonteringsverktyg!$D$45="Ja",Diskonteringsverktyg!$D$46="Nej"),$E8*Diskonteringsverktyg!$D$43*Diskonteringsverktyg!$D$44,IF(AND(Diskonteringsverktyg!$D$45="Nej",Diskonteringsverktyg!$D$46="Ja"),$D8*Diskonteringsverktyg!$D$43*Diskonteringsverktyg!$D$44,Diskonteringsverktyg!$D$43*Diskonteringsverktyg!$D$44)))</f>
        <v>0</v>
      </c>
      <c r="K8" s="23">
        <f t="shared" si="0"/>
        <v>6326.0100002612262</v>
      </c>
      <c r="L8" s="23">
        <f t="shared" si="1"/>
        <v>5905.398025868727</v>
      </c>
      <c r="M8" s="23">
        <f>IF((B8&lt;=Diskonteringsverktyg!$D$16),Diskonteringsverktyg!$D$50*Diskonteringsverktyg!$D$14^(B8-Diskonteringsverktyg!$D$11),M7)</f>
        <v>1691.819282640733</v>
      </c>
      <c r="N8" s="23">
        <f t="shared" si="2"/>
        <v>1579.3314034313362</v>
      </c>
      <c r="O8" s="30">
        <f>'Nuvärde inv kost'!F17</f>
        <v>18065.435232452524</v>
      </c>
      <c r="Q8" s="67"/>
      <c r="R8" s="66"/>
    </row>
    <row r="9" spans="1:18" x14ac:dyDescent="0.2">
      <c r="A9" s="97">
        <v>3</v>
      </c>
      <c r="B9" s="88">
        <f>Diskonteringsverktyg!$D$12+A9</f>
        <v>2031</v>
      </c>
      <c r="C9" s="22">
        <f>1/(Diskonteringsverktyg!$D$9)^(B9-Diskonteringsverktyg!$D$10)</f>
        <v>0.90194270566802237</v>
      </c>
      <c r="D9" s="21">
        <f>IF(B9&lt;=Diskonteringsverktyg!$D$15,Diskonteringsverktyg!$D$21^(B9-Diskonteringsverktyg!$D$24),IF(AND(B9&gt;Diskonteringsverktyg!$D$15,B9&lt;=Diskonteringsverktyg!$D$16),Diskonteringsverktyg!$D$21^(Diskonteringsverktyg!$D$15-Diskonteringsverktyg!$D$24)*Diskonteringsverktyg!$D$22^(B9-Diskonteringsverktyg!$D$15),D8))</f>
        <v>1.1268250301319698</v>
      </c>
      <c r="E9" s="21">
        <f>IF(B9&lt;=Diskonteringsverktyg!$D$16,(Diskonteringsverktyg!$D$13)^(B9-Diskonteringsverktyg!$D$23),E8)</f>
        <v>1.1470719115389156</v>
      </c>
      <c r="F9" s="23">
        <f>IF(AND(Diskonteringsverktyg!$D$29="Ja",Diskonteringsverktyg!$D$30="Ja"),$D9*$E9*Diskonteringsverktyg!$D$27*Diskonteringsverktyg!$D$28,IF(AND(Diskonteringsverktyg!$D$29="Ja",Diskonteringsverktyg!$D$30="Nej"),$E9*Diskonteringsverktyg!$D$27*Diskonteringsverktyg!$D$28,IF(AND(Diskonteringsverktyg!$D$29="Nej",Diskonteringsverktyg!$D$30="Ja"),$D9*Diskonteringsverktyg!$D$27*Diskonteringsverktyg!$D$28,Diskonteringsverktyg!$D$27*Diskonteringsverktyg!$D$28)))</f>
        <v>6462.7467064168741</v>
      </c>
      <c r="G9" s="23">
        <f>IF(AND(Diskonteringsverktyg!$D$33="Ja",Diskonteringsverktyg!$D$34="Ja"),$D9*$E9*Diskonteringsverktyg!$D$31*Diskonteringsverktyg!$D$32,IF(AND(Diskonteringsverktyg!$D$33="Ja",Diskonteringsverktyg!$D$34="Nej"),$E9*Diskonteringsverktyg!$D$31*Diskonteringsverktyg!$D$32,IF(AND(Diskonteringsverktyg!$D$33="Nej",Diskonteringsverktyg!$D$34="Ja"),$D9*Diskonteringsverktyg!$D$31*Diskonteringsverktyg!$D$32,Diskonteringsverktyg!$D$31*Diskonteringsverktyg!$D$32)))</f>
        <v>0</v>
      </c>
      <c r="H9" s="23">
        <f>IF(AND(Diskonteringsverktyg!$D$37="Ja",Diskonteringsverktyg!$D$38="Ja"),$D9*$E9*Diskonteringsverktyg!$D$35*Diskonteringsverktyg!$D$36,IF(AND(Diskonteringsverktyg!$D$37="Ja",Diskonteringsverktyg!$D$38="Nej"),$E9*Diskonteringsverktyg!$D$35*Diskonteringsverktyg!$D$36,IF(AND(Diskonteringsverktyg!$D$37="Nej",Diskonteringsverktyg!$D$38="Ja"),$D9*Diskonteringsverktyg!$D$35*Diskonteringsverktyg!$D$36,Diskonteringsverktyg!$D$35*Diskonteringsverktyg!$D$36)))</f>
        <v>0</v>
      </c>
      <c r="I9" s="23">
        <f>IF(AND(Diskonteringsverktyg!$D$41="Ja",Diskonteringsverktyg!$D$42="Ja"),$D9*$E9*Diskonteringsverktyg!$D$39*Diskonteringsverktyg!$D$40,IF(AND(Diskonteringsverktyg!$D$41="Ja",Diskonteringsverktyg!$D$42="Nej"),$E9*Diskonteringsverktyg!$D$39*Diskonteringsverktyg!$D$40,IF(AND(Diskonteringsverktyg!$D$41="Nej",Diskonteringsverktyg!$D$42="Ja"),$D9*Diskonteringsverktyg!$D$39*Diskonteringsverktyg!$D$40,Diskonteringsverktyg!$D$39*Diskonteringsverktyg!$D$40)))</f>
        <v>0</v>
      </c>
      <c r="J9" s="23">
        <f>IF(AND(Diskonteringsverktyg!$D$45="Ja",Diskonteringsverktyg!$D$46="Ja"),$D9*$E9*Diskonteringsverktyg!$D$43*Diskonteringsverktyg!$D$44,IF(AND(Diskonteringsverktyg!$D$45="Ja",Diskonteringsverktyg!$D$46="Nej"),$E9*Diskonteringsverktyg!$D$43*Diskonteringsverktyg!$D$44,IF(AND(Diskonteringsverktyg!$D$45="Nej",Diskonteringsverktyg!$D$46="Ja"),$D9*Diskonteringsverktyg!$D$43*Diskonteringsverktyg!$D$44,Diskonteringsverktyg!$D$43*Diskonteringsverktyg!$D$44)))</f>
        <v>0</v>
      </c>
      <c r="K9" s="23">
        <f t="shared" si="0"/>
        <v>6462.7467064168741</v>
      </c>
      <c r="L9" s="23">
        <f t="shared" si="1"/>
        <v>5829.0272504327359</v>
      </c>
      <c r="M9" s="23">
        <f>IF((B9&lt;=Diskonteringsverktyg!$D$16),Diskonteringsverktyg!$D$50*Diskonteringsverktyg!$D$14^(B9-Diskonteringsverktyg!$D$11),M8)</f>
        <v>1710.4292947497811</v>
      </c>
      <c r="N9" s="23">
        <f t="shared" si="2"/>
        <v>1542.7092259604649</v>
      </c>
      <c r="O9" s="30">
        <f>'Nuvärde inv kost'!F18</f>
        <v>0</v>
      </c>
    </row>
    <row r="10" spans="1:18" x14ac:dyDescent="0.2">
      <c r="A10" s="97">
        <v>4</v>
      </c>
      <c r="B10" s="88">
        <f>Diskonteringsverktyg!$D$12+A10</f>
        <v>2032</v>
      </c>
      <c r="C10" s="22">
        <f>1/(Diskonteringsverktyg!$D$9)^(B10-Diskonteringsverktyg!$D$10)</f>
        <v>0.87144222769857238</v>
      </c>
      <c r="D10" s="21">
        <f>IF(B10&lt;=Diskonteringsverktyg!$D$15,Diskonteringsverktyg!$D$21^(B10-Diskonteringsverktyg!$D$24),IF(AND(B10&gt;Diskonteringsverktyg!$D$15,B10&lt;=Diskonteringsverktyg!$D$16),Diskonteringsverktyg!$D$21^(Diskonteringsverktyg!$D$15-Diskonteringsverktyg!$D$24)*Diskonteringsverktyg!$D$22^(B10-Diskonteringsverktyg!$D$15),D9))</f>
        <v>1.1380932804332895</v>
      </c>
      <c r="E10" s="21">
        <f>IF(B10&lt;=Diskonteringsverktyg!$D$16,(Diskonteringsverktyg!$D$13)^(B10-Diskonteringsverktyg!$D$23),E9)</f>
        <v>1.1602632385216132</v>
      </c>
      <c r="F10" s="23">
        <f>IF(AND(Diskonteringsverktyg!$D$29="Ja",Diskonteringsverktyg!$D$30="Ja"),$D10*$E10*Diskonteringsverktyg!$D$27*Diskonteringsverktyg!$D$28,IF(AND(Diskonteringsverktyg!$D$29="Ja",Diskonteringsverktyg!$D$30="Nej"),$E10*Diskonteringsverktyg!$D$27*Diskonteringsverktyg!$D$28,IF(AND(Diskonteringsverktyg!$D$29="Nej",Diskonteringsverktyg!$D$30="Ja"),$D10*Diskonteringsverktyg!$D$27*Diskonteringsverktyg!$D$28,Diskonteringsverktyg!$D$27*Diskonteringsverktyg!$D$28)))</f>
        <v>6602.4389764760754</v>
      </c>
      <c r="G10" s="23">
        <f>IF(AND(Diskonteringsverktyg!$D$33="Ja",Diskonteringsverktyg!$D$34="Ja"),$D10*$E10*Diskonteringsverktyg!$D$31*Diskonteringsverktyg!$D$32,IF(AND(Diskonteringsverktyg!$D$33="Ja",Diskonteringsverktyg!$D$34="Nej"),$E10*Diskonteringsverktyg!$D$31*Diskonteringsverktyg!$D$32,IF(AND(Diskonteringsverktyg!$D$33="Nej",Diskonteringsverktyg!$D$34="Ja"),$D10*Diskonteringsverktyg!$D$31*Diskonteringsverktyg!$D$32,Diskonteringsverktyg!$D$31*Diskonteringsverktyg!$D$32)))</f>
        <v>0</v>
      </c>
      <c r="H10" s="23">
        <f>IF(AND(Diskonteringsverktyg!$D$37="Ja",Diskonteringsverktyg!$D$38="Ja"),$D10*$E10*Diskonteringsverktyg!$D$35*Diskonteringsverktyg!$D$36,IF(AND(Diskonteringsverktyg!$D$37="Ja",Diskonteringsverktyg!$D$38="Nej"),$E10*Diskonteringsverktyg!$D$35*Diskonteringsverktyg!$D$36,IF(AND(Diskonteringsverktyg!$D$37="Nej",Diskonteringsverktyg!$D$38="Ja"),$D10*Diskonteringsverktyg!$D$35*Diskonteringsverktyg!$D$36,Diskonteringsverktyg!$D$35*Diskonteringsverktyg!$D$36)))</f>
        <v>0</v>
      </c>
      <c r="I10" s="23">
        <f>IF(AND(Diskonteringsverktyg!$D$41="Ja",Diskonteringsverktyg!$D$42="Ja"),$D10*$E10*Diskonteringsverktyg!$D$39*Diskonteringsverktyg!$D$40,IF(AND(Diskonteringsverktyg!$D$41="Ja",Diskonteringsverktyg!$D$42="Nej"),$E10*Diskonteringsverktyg!$D$39*Diskonteringsverktyg!$D$40,IF(AND(Diskonteringsverktyg!$D$41="Nej",Diskonteringsverktyg!$D$42="Ja"),$D10*Diskonteringsverktyg!$D$39*Diskonteringsverktyg!$D$40,Diskonteringsverktyg!$D$39*Diskonteringsverktyg!$D$40)))</f>
        <v>0</v>
      </c>
      <c r="J10" s="23">
        <f>IF(AND(Diskonteringsverktyg!$D$45="Ja",Diskonteringsverktyg!$D$46="Ja"),$D10*$E10*Diskonteringsverktyg!$D$43*Diskonteringsverktyg!$D$44,IF(AND(Diskonteringsverktyg!$D$45="Ja",Diskonteringsverktyg!$D$46="Nej"),$E10*Diskonteringsverktyg!$D$43*Diskonteringsverktyg!$D$44,IF(AND(Diskonteringsverktyg!$D$45="Nej",Diskonteringsverktyg!$D$46="Ja"),$D10*Diskonteringsverktyg!$D$43*Diskonteringsverktyg!$D$44,Diskonteringsverktyg!$D$43*Diskonteringsverktyg!$D$44)))</f>
        <v>0</v>
      </c>
      <c r="K10" s="23">
        <f t="shared" si="0"/>
        <v>6602.4389764760754</v>
      </c>
      <c r="L10" s="23">
        <f t="shared" si="1"/>
        <v>5753.6441299041935</v>
      </c>
      <c r="M10" s="23">
        <f>IF((B10&lt;=Diskonteringsverktyg!$D$16),Diskonteringsverktyg!$D$50*Diskonteringsverktyg!$D$14^(B10-Diskonteringsverktyg!$D$11),M9)</f>
        <v>1729.2440169920283</v>
      </c>
      <c r="N10" s="23">
        <f t="shared" si="2"/>
        <v>1506.9362584019611</v>
      </c>
      <c r="O10" s="30">
        <f>'Nuvärde inv kost'!F19</f>
        <v>0</v>
      </c>
    </row>
    <row r="11" spans="1:18" x14ac:dyDescent="0.2">
      <c r="A11" s="97">
        <v>5</v>
      </c>
      <c r="B11" s="88">
        <f>Diskonteringsverktyg!$D$12+A11</f>
        <v>2033</v>
      </c>
      <c r="C11" s="22">
        <f>1/(Diskonteringsverktyg!$D$9)^(B11-Diskonteringsverktyg!$D$10)</f>
        <v>0.84197316685852419</v>
      </c>
      <c r="D11" s="21">
        <f>IF(B11&lt;=Diskonteringsverktyg!$D$15,Diskonteringsverktyg!$D$21^(B11-Diskonteringsverktyg!$D$24),IF(AND(B11&gt;Diskonteringsverktyg!$D$15,B11&lt;=Diskonteringsverktyg!$D$16),Diskonteringsverktyg!$D$21^(Diskonteringsverktyg!$D$15-Diskonteringsverktyg!$D$24)*Diskonteringsverktyg!$D$22^(B11-Diskonteringsverktyg!$D$15),D10))</f>
        <v>1.1494742132376226</v>
      </c>
      <c r="E11" s="21">
        <f>IF(B11&lt;=Diskonteringsverktyg!$D$16,(Diskonteringsverktyg!$D$13)^(B11-Diskonteringsverktyg!$D$23),E10)</f>
        <v>1.1736062657646118</v>
      </c>
      <c r="F11" s="23">
        <f>IF(AND(Diskonteringsverktyg!$D$29="Ja",Diskonteringsverktyg!$D$30="Ja"),$D11*$E11*Diskonteringsverktyg!$D$27*Diskonteringsverktyg!$D$28,IF(AND(Diskonteringsverktyg!$D$29="Ja",Diskonteringsverktyg!$D$30="Nej"),$E11*Diskonteringsverktyg!$D$27*Diskonteringsverktyg!$D$28,IF(AND(Diskonteringsverktyg!$D$29="Nej",Diskonteringsverktyg!$D$30="Ja"),$D11*Diskonteringsverktyg!$D$27*Diskonteringsverktyg!$D$28,Diskonteringsverktyg!$D$27*Diskonteringsverktyg!$D$28)))</f>
        <v>6745.1506949526065</v>
      </c>
      <c r="G11" s="23">
        <f>IF(AND(Diskonteringsverktyg!$D$33="Ja",Diskonteringsverktyg!$D$34="Ja"),$D11*$E11*Diskonteringsverktyg!$D$31*Diskonteringsverktyg!$D$32,IF(AND(Diskonteringsverktyg!$D$33="Ja",Diskonteringsverktyg!$D$34="Nej"),$E11*Diskonteringsverktyg!$D$31*Diskonteringsverktyg!$D$32,IF(AND(Diskonteringsverktyg!$D$33="Nej",Diskonteringsverktyg!$D$34="Ja"),$D11*Diskonteringsverktyg!$D$31*Diskonteringsverktyg!$D$32,Diskonteringsverktyg!$D$31*Diskonteringsverktyg!$D$32)))</f>
        <v>0</v>
      </c>
      <c r="H11" s="23">
        <f>IF(AND(Diskonteringsverktyg!$D$37="Ja",Diskonteringsverktyg!$D$38="Ja"),$D11*$E11*Diskonteringsverktyg!$D$35*Diskonteringsverktyg!$D$36,IF(AND(Diskonteringsverktyg!$D$37="Ja",Diskonteringsverktyg!$D$38="Nej"),$E11*Diskonteringsverktyg!$D$35*Diskonteringsverktyg!$D$36,IF(AND(Diskonteringsverktyg!$D$37="Nej",Diskonteringsverktyg!$D$38="Ja"),$D11*Diskonteringsverktyg!$D$35*Diskonteringsverktyg!$D$36,Diskonteringsverktyg!$D$35*Diskonteringsverktyg!$D$36)))</f>
        <v>0</v>
      </c>
      <c r="I11" s="23">
        <f>IF(AND(Diskonteringsverktyg!$D$41="Ja",Diskonteringsverktyg!$D$42="Ja"),$D11*$E11*Diskonteringsverktyg!$D$39*Diskonteringsverktyg!$D$40,IF(AND(Diskonteringsverktyg!$D$41="Ja",Diskonteringsverktyg!$D$42="Nej"),$E11*Diskonteringsverktyg!$D$39*Diskonteringsverktyg!$D$40,IF(AND(Diskonteringsverktyg!$D$41="Nej",Diskonteringsverktyg!$D$42="Ja"),$D11*Diskonteringsverktyg!$D$39*Diskonteringsverktyg!$D$40,Diskonteringsverktyg!$D$39*Diskonteringsverktyg!$D$40)))</f>
        <v>0</v>
      </c>
      <c r="J11" s="23">
        <f>IF(AND(Diskonteringsverktyg!$D$45="Ja",Diskonteringsverktyg!$D$46="Ja"),$D11*$E11*Diskonteringsverktyg!$D$43*Diskonteringsverktyg!$D$44,IF(AND(Diskonteringsverktyg!$D$45="Ja",Diskonteringsverktyg!$D$46="Nej"),$E11*Diskonteringsverktyg!$D$43*Diskonteringsverktyg!$D$44,IF(AND(Diskonteringsverktyg!$D$45="Nej",Diskonteringsverktyg!$D$46="Ja"),$D11*Diskonteringsverktyg!$D$43*Diskonteringsverktyg!$D$44,Diskonteringsverktyg!$D$43*Diskonteringsverktyg!$D$44)))</f>
        <v>0</v>
      </c>
      <c r="K11" s="23">
        <f t="shared" si="0"/>
        <v>6745.1506949526065</v>
      </c>
      <c r="L11" s="23">
        <f t="shared" si="1"/>
        <v>5679.2358915672212</v>
      </c>
      <c r="M11" s="23">
        <f>IF((B11&lt;=Diskonteringsverktyg!$D$16),Diskonteringsverktyg!$D$50*Diskonteringsverktyg!$D$14^(B11-Diskonteringsverktyg!$D$11),M10)</f>
        <v>1748.2657011789406</v>
      </c>
      <c r="N11" s="23">
        <f t="shared" si="2"/>
        <v>1471.9928089317709</v>
      </c>
      <c r="O11" s="30">
        <f>'Nuvärde inv kost'!F20</f>
        <v>0</v>
      </c>
    </row>
    <row r="12" spans="1:18" x14ac:dyDescent="0.2">
      <c r="A12" s="97">
        <v>6</v>
      </c>
      <c r="B12" s="88">
        <f>Diskonteringsverktyg!$D$12+A12</f>
        <v>2034</v>
      </c>
      <c r="C12" s="22">
        <f>1/(Diskonteringsverktyg!$D$9)^(B12-Diskonteringsverktyg!$D$10)</f>
        <v>0.81350064430775282</v>
      </c>
      <c r="D12" s="21">
        <f>IF(B12&lt;=Diskonteringsverktyg!$D$15,Diskonteringsverktyg!$D$21^(B12-Diskonteringsverktyg!$D$24),IF(AND(B12&gt;Diskonteringsverktyg!$D$15,B12&lt;=Diskonteringsverktyg!$D$16),Diskonteringsverktyg!$D$21^(Diskonteringsverktyg!$D$15-Diskonteringsverktyg!$D$24)*Diskonteringsverktyg!$D$22^(B12-Diskonteringsverktyg!$D$15),D11))</f>
        <v>1.1609689553699984</v>
      </c>
      <c r="E12" s="21">
        <f>IF(B12&lt;=Diskonteringsverktyg!$D$16,(Diskonteringsverktyg!$D$13)^(B12-Diskonteringsverktyg!$D$23),E11)</f>
        <v>1.1871027378209051</v>
      </c>
      <c r="F12" s="23">
        <f>IF(AND(Diskonteringsverktyg!$D$29="Ja",Diskonteringsverktyg!$D$30="Ja"),$D12*$E12*Diskonteringsverktyg!$D$27*Diskonteringsverktyg!$D$28,IF(AND(Diskonteringsverktyg!$D$29="Ja",Diskonteringsverktyg!$D$30="Nej"),$E12*Diskonteringsverktyg!$D$27*Diskonteringsverktyg!$D$28,IF(AND(Diskonteringsverktyg!$D$29="Nej",Diskonteringsverktyg!$D$30="Ja"),$D12*Diskonteringsverktyg!$D$27*Diskonteringsverktyg!$D$28,Diskonteringsverktyg!$D$27*Diskonteringsverktyg!$D$28)))</f>
        <v>6890.9471272240062</v>
      </c>
      <c r="G12" s="23">
        <f>IF(AND(Diskonteringsverktyg!$D$33="Ja",Diskonteringsverktyg!$D$34="Ja"),$D12*$E12*Diskonteringsverktyg!$D$31*Diskonteringsverktyg!$D$32,IF(AND(Diskonteringsverktyg!$D$33="Ja",Diskonteringsverktyg!$D$34="Nej"),$E12*Diskonteringsverktyg!$D$31*Diskonteringsverktyg!$D$32,IF(AND(Diskonteringsverktyg!$D$33="Nej",Diskonteringsverktyg!$D$34="Ja"),$D12*Diskonteringsverktyg!$D$31*Diskonteringsverktyg!$D$32,Diskonteringsverktyg!$D$31*Diskonteringsverktyg!$D$32)))</f>
        <v>0</v>
      </c>
      <c r="H12" s="23">
        <f>IF(AND(Diskonteringsverktyg!$D$37="Ja",Diskonteringsverktyg!$D$38="Ja"),$D12*$E12*Diskonteringsverktyg!$D$35*Diskonteringsverktyg!$D$36,IF(AND(Diskonteringsverktyg!$D$37="Ja",Diskonteringsverktyg!$D$38="Nej"),$E12*Diskonteringsverktyg!$D$35*Diskonteringsverktyg!$D$36,IF(AND(Diskonteringsverktyg!$D$37="Nej",Diskonteringsverktyg!$D$38="Ja"),$D12*Diskonteringsverktyg!$D$35*Diskonteringsverktyg!$D$36,Diskonteringsverktyg!$D$35*Diskonteringsverktyg!$D$36)))</f>
        <v>0</v>
      </c>
      <c r="I12" s="23">
        <f>IF(AND(Diskonteringsverktyg!$D$41="Ja",Diskonteringsverktyg!$D$42="Ja"),$D12*$E12*Diskonteringsverktyg!$D$39*Diskonteringsverktyg!$D$40,IF(AND(Diskonteringsverktyg!$D$41="Ja",Diskonteringsverktyg!$D$42="Nej"),$E12*Diskonteringsverktyg!$D$39*Diskonteringsverktyg!$D$40,IF(AND(Diskonteringsverktyg!$D$41="Nej",Diskonteringsverktyg!$D$42="Ja"),$D12*Diskonteringsverktyg!$D$39*Diskonteringsverktyg!$D$40,Diskonteringsverktyg!$D$39*Diskonteringsverktyg!$D$40)))</f>
        <v>0</v>
      </c>
      <c r="J12" s="23">
        <f>IF(AND(Diskonteringsverktyg!$D$45="Ja",Diskonteringsverktyg!$D$46="Ja"),$D12*$E12*Diskonteringsverktyg!$D$43*Diskonteringsverktyg!$D$44,IF(AND(Diskonteringsverktyg!$D$45="Ja",Diskonteringsverktyg!$D$46="Nej"),$E12*Diskonteringsverktyg!$D$43*Diskonteringsverktyg!$D$44,IF(AND(Diskonteringsverktyg!$D$45="Nej",Diskonteringsverktyg!$D$46="Ja"),$D12*Diskonteringsverktyg!$D$43*Diskonteringsverktyg!$D$44,Diskonteringsverktyg!$D$43*Diskonteringsverktyg!$D$44)))</f>
        <v>0</v>
      </c>
      <c r="K12" s="23">
        <f t="shared" si="0"/>
        <v>6890.9471272240062</v>
      </c>
      <c r="L12" s="23">
        <f t="shared" si="1"/>
        <v>5605.7899278873874</v>
      </c>
      <c r="M12" s="23">
        <f>IF((B12&lt;=Diskonteringsverktyg!$D$16),Diskonteringsverktyg!$D$50*Diskonteringsverktyg!$D$14^(B12-Diskonteringsverktyg!$D$11),M11)</f>
        <v>1767.4966238919087</v>
      </c>
      <c r="N12" s="23">
        <f t="shared" si="2"/>
        <v>1437.8596423478457</v>
      </c>
      <c r="O12" s="30">
        <f>'Nuvärde inv kost'!F21</f>
        <v>0</v>
      </c>
    </row>
    <row r="13" spans="1:18" x14ac:dyDescent="0.2">
      <c r="A13" s="97">
        <v>7</v>
      </c>
      <c r="B13" s="88">
        <f>Diskonteringsverktyg!$D$12+A13</f>
        <v>2035</v>
      </c>
      <c r="C13" s="22">
        <f>1/(Diskonteringsverktyg!$D$9)^(B13-Diskonteringsverktyg!$D$10)</f>
        <v>0.78599096068381913</v>
      </c>
      <c r="D13" s="21">
        <f>IF(B13&lt;=Diskonteringsverktyg!$D$15,Diskonteringsverktyg!$D$21^(B13-Diskonteringsverktyg!$D$24),IF(AND(B13&gt;Diskonteringsverktyg!$D$15,B13&lt;=Diskonteringsverktyg!$D$16),Diskonteringsverktyg!$D$21^(Diskonteringsverktyg!$D$15-Diskonteringsverktyg!$D$24)*Diskonteringsverktyg!$D$22^(B13-Diskonteringsverktyg!$D$15),D12))</f>
        <v>1.1725786449236988</v>
      </c>
      <c r="E13" s="21">
        <f>IF(B13&lt;=Diskonteringsverktyg!$D$16,(Diskonteringsverktyg!$D$13)^(B13-Diskonteringsverktyg!$D$23),E12)</f>
        <v>1.2007544193058457</v>
      </c>
      <c r="F13" s="23">
        <f>IF(AND(Diskonteringsverktyg!$D$29="Ja",Diskonteringsverktyg!$D$30="Ja"),$D13*$E13*Diskonteringsverktyg!$D$27*Diskonteringsverktyg!$D$28,IF(AND(Diskonteringsverktyg!$D$29="Ja",Diskonteringsverktyg!$D$30="Nej"),$E13*Diskonteringsverktyg!$D$27*Diskonteringsverktyg!$D$28,IF(AND(Diskonteringsverktyg!$D$29="Nej",Diskonteringsverktyg!$D$30="Ja"),$D13*Diskonteringsverktyg!$D$27*Diskonteringsverktyg!$D$28,Diskonteringsverktyg!$D$27*Diskonteringsverktyg!$D$28)))</f>
        <v>7039.8949493789569</v>
      </c>
      <c r="G13" s="23">
        <f>IF(AND(Diskonteringsverktyg!$D$33="Ja",Diskonteringsverktyg!$D$34="Ja"),$D13*$E13*Diskonteringsverktyg!$D$31*Diskonteringsverktyg!$D$32,IF(AND(Diskonteringsverktyg!$D$33="Ja",Diskonteringsverktyg!$D$34="Nej"),$E13*Diskonteringsverktyg!$D$31*Diskonteringsverktyg!$D$32,IF(AND(Diskonteringsverktyg!$D$33="Nej",Diskonteringsverktyg!$D$34="Ja"),$D13*Diskonteringsverktyg!$D$31*Diskonteringsverktyg!$D$32,Diskonteringsverktyg!$D$31*Diskonteringsverktyg!$D$32)))</f>
        <v>0</v>
      </c>
      <c r="H13" s="23">
        <f>IF(AND(Diskonteringsverktyg!$D$37="Ja",Diskonteringsverktyg!$D$38="Ja"),$D13*$E13*Diskonteringsverktyg!$D$35*Diskonteringsverktyg!$D$36,IF(AND(Diskonteringsverktyg!$D$37="Ja",Diskonteringsverktyg!$D$38="Nej"),$E13*Diskonteringsverktyg!$D$35*Diskonteringsverktyg!$D$36,IF(AND(Diskonteringsverktyg!$D$37="Nej",Diskonteringsverktyg!$D$38="Ja"),$D13*Diskonteringsverktyg!$D$35*Diskonteringsverktyg!$D$36,Diskonteringsverktyg!$D$35*Diskonteringsverktyg!$D$36)))</f>
        <v>0</v>
      </c>
      <c r="I13" s="23">
        <f>IF(AND(Diskonteringsverktyg!$D$41="Ja",Diskonteringsverktyg!$D$42="Ja"),$D13*$E13*Diskonteringsverktyg!$D$39*Diskonteringsverktyg!$D$40,IF(AND(Diskonteringsverktyg!$D$41="Ja",Diskonteringsverktyg!$D$42="Nej"),$E13*Diskonteringsverktyg!$D$39*Diskonteringsverktyg!$D$40,IF(AND(Diskonteringsverktyg!$D$41="Nej",Diskonteringsverktyg!$D$42="Ja"),$D13*Diskonteringsverktyg!$D$39*Diskonteringsverktyg!$D$40,Diskonteringsverktyg!$D$39*Diskonteringsverktyg!$D$40)))</f>
        <v>0</v>
      </c>
      <c r="J13" s="23">
        <f>IF(AND(Diskonteringsverktyg!$D$45="Ja",Diskonteringsverktyg!$D$46="Ja"),$D13*$E13*Diskonteringsverktyg!$D$43*Diskonteringsverktyg!$D$44,IF(AND(Diskonteringsverktyg!$D$45="Ja",Diskonteringsverktyg!$D$46="Nej"),$E13*Diskonteringsverktyg!$D$43*Diskonteringsverktyg!$D$44,IF(AND(Diskonteringsverktyg!$D$45="Nej",Diskonteringsverktyg!$D$46="Ja"),$D13*Diskonteringsverktyg!$D$43*Diskonteringsverktyg!$D$44,Diskonteringsverktyg!$D$43*Diskonteringsverktyg!$D$44)))</f>
        <v>0</v>
      </c>
      <c r="K13" s="23">
        <f t="shared" si="0"/>
        <v>7039.8949493789569</v>
      </c>
      <c r="L13" s="23">
        <f t="shared" si="1"/>
        <v>5533.2937943755323</v>
      </c>
      <c r="M13" s="23">
        <f>IF((B13&lt;=Diskonteringsverktyg!$D$16),Diskonteringsverktyg!$D$50*Diskonteringsverktyg!$D$14^(B13-Diskonteringsverktyg!$D$11),M12)</f>
        <v>1786.9390867547195</v>
      </c>
      <c r="N13" s="23">
        <f t="shared" si="2"/>
        <v>1404.5179694818084</v>
      </c>
      <c r="O13" s="30">
        <f>'Nuvärde inv kost'!F22</f>
        <v>0</v>
      </c>
    </row>
    <row r="14" spans="1:18" x14ac:dyDescent="0.2">
      <c r="A14" s="97">
        <v>8</v>
      </c>
      <c r="B14" s="88">
        <f>Diskonteringsverktyg!$D$12+A14</f>
        <v>2036</v>
      </c>
      <c r="C14" s="22">
        <f>1/(Diskonteringsverktyg!$D$9)^(B14-Diskonteringsverktyg!$D$10)</f>
        <v>0.75941155621625056</v>
      </c>
      <c r="D14" s="21">
        <f>IF(B14&lt;=Diskonteringsverktyg!$D$15,Diskonteringsverktyg!$D$21^(B14-Diskonteringsverktyg!$D$24),IF(AND(B14&gt;Diskonteringsverktyg!$D$15,B14&lt;=Diskonteringsverktyg!$D$16),Diskonteringsverktyg!$D$21^(Diskonteringsverktyg!$D$15-Diskonteringsverktyg!$D$24)*Diskonteringsverktyg!$D$22^(B14-Diskonteringsverktyg!$D$15),D13))</f>
        <v>1.1843044313729358</v>
      </c>
      <c r="E14" s="21">
        <f>IF(B14&lt;=Diskonteringsverktyg!$D$16,(Diskonteringsverktyg!$D$13)^(B14-Diskonteringsverktyg!$D$23),E13)</f>
        <v>1.214563095127863</v>
      </c>
      <c r="F14" s="23">
        <f>IF(AND(Diskonteringsverktyg!$D$29="Ja",Diskonteringsverktyg!$D$30="Ja"),$D14*$E14*Diskonteringsverktyg!$D$27*Diskonteringsverktyg!$D$28,IF(AND(Diskonteringsverktyg!$D$29="Ja",Diskonteringsverktyg!$D$30="Nej"),$E14*Diskonteringsverktyg!$D$27*Diskonteringsverktyg!$D$28,IF(AND(Diskonteringsverktyg!$D$29="Nej",Diskonteringsverktyg!$D$30="Ja"),$D14*Diskonteringsverktyg!$D$27*Diskonteringsverktyg!$D$28,Diskonteringsverktyg!$D$27*Diskonteringsverktyg!$D$28)))</f>
        <v>7192.0622787097836</v>
      </c>
      <c r="G14" s="23">
        <f>IF(AND(Diskonteringsverktyg!$D$33="Ja",Diskonteringsverktyg!$D$34="Ja"),$D14*$E14*Diskonteringsverktyg!$D$31*Diskonteringsverktyg!$D$32,IF(AND(Diskonteringsverktyg!$D$33="Ja",Diskonteringsverktyg!$D$34="Nej"),$E14*Diskonteringsverktyg!$D$31*Diskonteringsverktyg!$D$32,IF(AND(Diskonteringsverktyg!$D$33="Nej",Diskonteringsverktyg!$D$34="Ja"),$D14*Diskonteringsverktyg!$D$31*Diskonteringsverktyg!$D$32,Diskonteringsverktyg!$D$31*Diskonteringsverktyg!$D$32)))</f>
        <v>0</v>
      </c>
      <c r="H14" s="23">
        <f>IF(AND(Diskonteringsverktyg!$D$37="Ja",Diskonteringsverktyg!$D$38="Ja"),$D14*$E14*Diskonteringsverktyg!$D$35*Diskonteringsverktyg!$D$36,IF(AND(Diskonteringsverktyg!$D$37="Ja",Diskonteringsverktyg!$D$38="Nej"),$E14*Diskonteringsverktyg!$D$35*Diskonteringsverktyg!$D$36,IF(AND(Diskonteringsverktyg!$D$37="Nej",Diskonteringsverktyg!$D$38="Ja"),$D14*Diskonteringsverktyg!$D$35*Diskonteringsverktyg!$D$36,Diskonteringsverktyg!$D$35*Diskonteringsverktyg!$D$36)))</f>
        <v>0</v>
      </c>
      <c r="I14" s="23">
        <f>IF(AND(Diskonteringsverktyg!$D$41="Ja",Diskonteringsverktyg!$D$42="Ja"),$D14*$E14*Diskonteringsverktyg!$D$39*Diskonteringsverktyg!$D$40,IF(AND(Diskonteringsverktyg!$D$41="Ja",Diskonteringsverktyg!$D$42="Nej"),$E14*Diskonteringsverktyg!$D$39*Diskonteringsverktyg!$D$40,IF(AND(Diskonteringsverktyg!$D$41="Nej",Diskonteringsverktyg!$D$42="Ja"),$D14*Diskonteringsverktyg!$D$39*Diskonteringsverktyg!$D$40,Diskonteringsverktyg!$D$39*Diskonteringsverktyg!$D$40)))</f>
        <v>0</v>
      </c>
      <c r="J14" s="23">
        <f>IF(AND(Diskonteringsverktyg!$D$45="Ja",Diskonteringsverktyg!$D$46="Ja"),$D14*$E14*Diskonteringsverktyg!$D$43*Diskonteringsverktyg!$D$44,IF(AND(Diskonteringsverktyg!$D$45="Ja",Diskonteringsverktyg!$D$46="Nej"),$E14*Diskonteringsverktyg!$D$43*Diskonteringsverktyg!$D$44,IF(AND(Diskonteringsverktyg!$D$45="Nej",Diskonteringsverktyg!$D$46="Ja"),$D14*Diskonteringsverktyg!$D$43*Diskonteringsverktyg!$D$44,Diskonteringsverktyg!$D$43*Diskonteringsverktyg!$D$44)))</f>
        <v>0</v>
      </c>
      <c r="K14" s="23">
        <f t="shared" si="0"/>
        <v>7192.0622787097836</v>
      </c>
      <c r="L14" s="23">
        <f t="shared" si="1"/>
        <v>5461.7352074791897</v>
      </c>
      <c r="M14" s="23">
        <f>IF((B14&lt;=Diskonteringsverktyg!$D$16),Diskonteringsverktyg!$D$50*Diskonteringsverktyg!$D$14^(B14-Diskonteringsverktyg!$D$11),M13)</f>
        <v>1806.5954167090215</v>
      </c>
      <c r="N14" s="23">
        <f t="shared" si="2"/>
        <v>1371.9494368561436</v>
      </c>
      <c r="O14" s="30">
        <f>'Nuvärde inv kost'!F23</f>
        <v>0</v>
      </c>
    </row>
    <row r="15" spans="1:18" x14ac:dyDescent="0.2">
      <c r="A15" s="97">
        <v>9</v>
      </c>
      <c r="B15" s="88">
        <f>Diskonteringsverktyg!$D$12+A15</f>
        <v>2037</v>
      </c>
      <c r="C15" s="22">
        <f>1/(Diskonteringsverktyg!$D$9)^(B15-Diskonteringsverktyg!$D$10)</f>
        <v>0.73373097218961414</v>
      </c>
      <c r="D15" s="21">
        <f>IF(B15&lt;=Diskonteringsverktyg!$D$15,Diskonteringsverktyg!$D$21^(B15-Diskonteringsverktyg!$D$24),IF(AND(B15&gt;Diskonteringsverktyg!$D$15,B15&lt;=Diskonteringsverktyg!$D$16),Diskonteringsverktyg!$D$21^(Diskonteringsverktyg!$D$15-Diskonteringsverktyg!$D$24)*Diskonteringsverktyg!$D$22^(B15-Diskonteringsverktyg!$D$15),D14))</f>
        <v>1.1961474756866652</v>
      </c>
      <c r="E15" s="21">
        <f>IF(B15&lt;=Diskonteringsverktyg!$D$16,(Diskonteringsverktyg!$D$13)^(B15-Diskonteringsverktyg!$D$23),E14)</f>
        <v>1.2285305707218335</v>
      </c>
      <c r="F15" s="23">
        <f>IF(AND(Diskonteringsverktyg!$D$29="Ja",Diskonteringsverktyg!$D$30="Ja"),$D15*$E15*Diskonteringsverktyg!$D$27*Diskonteringsverktyg!$D$28,IF(AND(Diskonteringsverktyg!$D$29="Ja",Diskonteringsverktyg!$D$30="Nej"),$E15*Diskonteringsverktyg!$D$27*Diskonteringsverktyg!$D$28,IF(AND(Diskonteringsverktyg!$D$29="Nej",Diskonteringsverktyg!$D$30="Ja"),$D15*Diskonteringsverktyg!$D$27*Diskonteringsverktyg!$D$28,Diskonteringsverktyg!$D$27*Diskonteringsverktyg!$D$28)))</f>
        <v>7347.5187048640964</v>
      </c>
      <c r="G15" s="23">
        <f>IF(AND(Diskonteringsverktyg!$D$33="Ja",Diskonteringsverktyg!$D$34="Ja"),$D15*$E15*Diskonteringsverktyg!$D$31*Diskonteringsverktyg!$D$32,IF(AND(Diskonteringsverktyg!$D$33="Ja",Diskonteringsverktyg!$D$34="Nej"),$E15*Diskonteringsverktyg!$D$31*Diskonteringsverktyg!$D$32,IF(AND(Diskonteringsverktyg!$D$33="Nej",Diskonteringsverktyg!$D$34="Ja"),$D15*Diskonteringsverktyg!$D$31*Diskonteringsverktyg!$D$32,Diskonteringsverktyg!$D$31*Diskonteringsverktyg!$D$32)))</f>
        <v>0</v>
      </c>
      <c r="H15" s="23">
        <f>IF(AND(Diskonteringsverktyg!$D$37="Ja",Diskonteringsverktyg!$D$38="Ja"),$D15*$E15*Diskonteringsverktyg!$D$35*Diskonteringsverktyg!$D$36,IF(AND(Diskonteringsverktyg!$D$37="Ja",Diskonteringsverktyg!$D$38="Nej"),$E15*Diskonteringsverktyg!$D$35*Diskonteringsverktyg!$D$36,IF(AND(Diskonteringsverktyg!$D$37="Nej",Diskonteringsverktyg!$D$38="Ja"),$D15*Diskonteringsverktyg!$D$35*Diskonteringsverktyg!$D$36,Diskonteringsverktyg!$D$35*Diskonteringsverktyg!$D$36)))</f>
        <v>0</v>
      </c>
      <c r="I15" s="23">
        <f>IF(AND(Diskonteringsverktyg!$D$41="Ja",Diskonteringsverktyg!$D$42="Ja"),$D15*$E15*Diskonteringsverktyg!$D$39*Diskonteringsverktyg!$D$40,IF(AND(Diskonteringsverktyg!$D$41="Ja",Diskonteringsverktyg!$D$42="Nej"),$E15*Diskonteringsverktyg!$D$39*Diskonteringsverktyg!$D$40,IF(AND(Diskonteringsverktyg!$D$41="Nej",Diskonteringsverktyg!$D$42="Ja"),$D15*Diskonteringsverktyg!$D$39*Diskonteringsverktyg!$D$40,Diskonteringsverktyg!$D$39*Diskonteringsverktyg!$D$40)))</f>
        <v>0</v>
      </c>
      <c r="J15" s="23">
        <f>IF(AND(Diskonteringsverktyg!$D$45="Ja",Diskonteringsverktyg!$D$46="Ja"),$D15*$E15*Diskonteringsverktyg!$D$43*Diskonteringsverktyg!$D$44,IF(AND(Diskonteringsverktyg!$D$45="Ja",Diskonteringsverktyg!$D$46="Nej"),$E15*Diskonteringsverktyg!$D$43*Diskonteringsverktyg!$D$44,IF(AND(Diskonteringsverktyg!$D$45="Nej",Diskonteringsverktyg!$D$46="Ja"),$D15*Diskonteringsverktyg!$D$43*Diskonteringsverktyg!$D$44,Diskonteringsverktyg!$D$43*Diskonteringsverktyg!$D$44)))</f>
        <v>0</v>
      </c>
      <c r="K15" s="23">
        <f t="shared" si="0"/>
        <v>7347.5187048640964</v>
      </c>
      <c r="L15" s="23">
        <f t="shared" si="1"/>
        <v>5391.1020425013085</v>
      </c>
      <c r="M15" s="23">
        <f>IF((B15&lt;=Diskonteringsverktyg!$D$16),Diskonteringsverktyg!$D$50*Diskonteringsverktyg!$D$14^(B15-Diskonteringsverktyg!$D$11),M14)</f>
        <v>1826.4679662928204</v>
      </c>
      <c r="N15" s="23">
        <f t="shared" si="2"/>
        <v>1340.1361165812184</v>
      </c>
      <c r="O15" s="30">
        <f>'Nuvärde inv kost'!F24</f>
        <v>0</v>
      </c>
    </row>
    <row r="16" spans="1:18" x14ac:dyDescent="0.2">
      <c r="A16" s="97">
        <v>10</v>
      </c>
      <c r="B16" s="88">
        <f>Diskonteringsverktyg!$D$12+A16</f>
        <v>2038</v>
      </c>
      <c r="C16" s="22">
        <f>1/(Diskonteringsverktyg!$D$9)^(B16-Diskonteringsverktyg!$D$10)</f>
        <v>0.70891881370977217</v>
      </c>
      <c r="D16" s="21">
        <f>IF(B16&lt;=Diskonteringsverktyg!$D$15,Diskonteringsverktyg!$D$21^(B16-Diskonteringsverktyg!$D$24),IF(AND(B16&gt;Diskonteringsverktyg!$D$15,B16&lt;=Diskonteringsverktyg!$D$16),Diskonteringsverktyg!$D$21^(Diskonteringsverktyg!$D$15-Diskonteringsverktyg!$D$24)*Diskonteringsverktyg!$D$22^(B16-Diskonteringsverktyg!$D$15),D15))</f>
        <v>1.2081089504435316</v>
      </c>
      <c r="E16" s="21">
        <f>IF(B16&lt;=Diskonteringsverktyg!$D$16,(Diskonteringsverktyg!$D$13)^(B16-Diskonteringsverktyg!$D$23),E15)</f>
        <v>1.2426586722851347</v>
      </c>
      <c r="F16" s="23">
        <f>IF(AND(Diskonteringsverktyg!$D$29="Ja",Diskonteringsverktyg!$D$30="Ja"),$D16*$E16*Diskonteringsverktyg!$D$27*Diskonteringsverktyg!$D$28,IF(AND(Diskonteringsverktyg!$D$29="Ja",Diskonteringsverktyg!$D$30="Nej"),$E16*Diskonteringsverktyg!$D$27*Diskonteringsverktyg!$D$28,IF(AND(Diskonteringsverktyg!$D$29="Nej",Diskonteringsverktyg!$D$30="Ja"),$D16*Diskonteringsverktyg!$D$27*Diskonteringsverktyg!$D$28,Diskonteringsverktyg!$D$27*Diskonteringsverktyg!$D$28)))</f>
        <v>7506.3353216697324</v>
      </c>
      <c r="G16" s="23">
        <f>IF(AND(Diskonteringsverktyg!$D$33="Ja",Diskonteringsverktyg!$D$34="Ja"),$D16*$E16*Diskonteringsverktyg!$D$31*Diskonteringsverktyg!$D$32,IF(AND(Diskonteringsverktyg!$D$33="Ja",Diskonteringsverktyg!$D$34="Nej"),$E16*Diskonteringsverktyg!$D$31*Diskonteringsverktyg!$D$32,IF(AND(Diskonteringsverktyg!$D$33="Nej",Diskonteringsverktyg!$D$34="Ja"),$D16*Diskonteringsverktyg!$D$31*Diskonteringsverktyg!$D$32,Diskonteringsverktyg!$D$31*Diskonteringsverktyg!$D$32)))</f>
        <v>0</v>
      </c>
      <c r="H16" s="23">
        <f>IF(AND(Diskonteringsverktyg!$D$37="Ja",Diskonteringsverktyg!$D$38="Ja"),$D16*$E16*Diskonteringsverktyg!$D$35*Diskonteringsverktyg!$D$36,IF(AND(Diskonteringsverktyg!$D$37="Ja",Diskonteringsverktyg!$D$38="Nej"),$E16*Diskonteringsverktyg!$D$35*Diskonteringsverktyg!$D$36,IF(AND(Diskonteringsverktyg!$D$37="Nej",Diskonteringsverktyg!$D$38="Ja"),$D16*Diskonteringsverktyg!$D$35*Diskonteringsverktyg!$D$36,Diskonteringsverktyg!$D$35*Diskonteringsverktyg!$D$36)))</f>
        <v>0</v>
      </c>
      <c r="I16" s="23">
        <f>IF(AND(Diskonteringsverktyg!$D$41="Ja",Diskonteringsverktyg!$D$42="Ja"),$D16*$E16*Diskonteringsverktyg!$D$39*Diskonteringsverktyg!$D$40,IF(AND(Diskonteringsverktyg!$D$41="Ja",Diskonteringsverktyg!$D$42="Nej"),$E16*Diskonteringsverktyg!$D$39*Diskonteringsverktyg!$D$40,IF(AND(Diskonteringsverktyg!$D$41="Nej",Diskonteringsverktyg!$D$42="Ja"),$D16*Diskonteringsverktyg!$D$39*Diskonteringsverktyg!$D$40,Diskonteringsverktyg!$D$39*Diskonteringsverktyg!$D$40)))</f>
        <v>0</v>
      </c>
      <c r="J16" s="23">
        <f>IF(AND(Diskonteringsverktyg!$D$45="Ja",Diskonteringsverktyg!$D$46="Ja"),$D16*$E16*Diskonteringsverktyg!$D$43*Diskonteringsverktyg!$D$44,IF(AND(Diskonteringsverktyg!$D$45="Ja",Diskonteringsverktyg!$D$46="Nej"),$E16*Diskonteringsverktyg!$D$43*Diskonteringsverktyg!$D$44,IF(AND(Diskonteringsverktyg!$D$45="Nej",Diskonteringsverktyg!$D$46="Ja"),$D16*Diskonteringsverktyg!$D$43*Diskonteringsverktyg!$D$44,Diskonteringsverktyg!$D$43*Diskonteringsverktyg!$D$44)))</f>
        <v>0</v>
      </c>
      <c r="K16" s="23">
        <f t="shared" si="0"/>
        <v>7506.3353216697324</v>
      </c>
      <c r="L16" s="23">
        <f t="shared" si="1"/>
        <v>5321.3823315458676</v>
      </c>
      <c r="M16" s="23">
        <f>IF((B16&lt;=Diskonteringsverktyg!$D$16),Diskonteringsverktyg!$D$50*Diskonteringsverktyg!$D$14^(B16-Diskonteringsverktyg!$D$11),M15)</f>
        <v>1846.5591139220414</v>
      </c>
      <c r="N16" s="23">
        <f t="shared" si="2"/>
        <v>1309.0604964865815</v>
      </c>
      <c r="O16" s="30"/>
    </row>
    <row r="17" spans="1:15" x14ac:dyDescent="0.2">
      <c r="A17" s="97">
        <v>11</v>
      </c>
      <c r="B17" s="88">
        <f>Diskonteringsverktyg!$D$12+A17</f>
        <v>2039</v>
      </c>
      <c r="C17" s="22">
        <f>1/(Diskonteringsverktyg!$D$9)^(B17-Diskonteringsverktyg!$D$10)</f>
        <v>0.68494571372924851</v>
      </c>
      <c r="D17" s="21">
        <f>IF(B17&lt;=Diskonteringsverktyg!$D$15,Diskonteringsverktyg!$D$21^(B17-Diskonteringsverktyg!$D$24),IF(AND(B17&gt;Diskonteringsverktyg!$D$15,B17&lt;=Diskonteringsverktyg!$D$16),Diskonteringsverktyg!$D$21^(Diskonteringsverktyg!$D$15-Diskonteringsverktyg!$D$24)*Diskonteringsverktyg!$D$22^(B17-Diskonteringsverktyg!$D$15),D16))</f>
        <v>1.220190039947967</v>
      </c>
      <c r="E17" s="21">
        <f>IF(B17&lt;=Diskonteringsverktyg!$D$16,(Diskonteringsverktyg!$D$13)^(B17-Diskonteringsverktyg!$D$23),E16)</f>
        <v>1.2569492470164139</v>
      </c>
      <c r="F17" s="23">
        <f>IF(AND(Diskonteringsverktyg!$D$29="Ja",Diskonteringsverktyg!$D$30="Ja"),$D17*$E17*Diskonteringsverktyg!$D$27*Diskonteringsverktyg!$D$28,IF(AND(Diskonteringsverktyg!$D$29="Ja",Diskonteringsverktyg!$D$30="Nej"),$E17*Diskonteringsverktyg!$D$27*Diskonteringsverktyg!$D$28,IF(AND(Diskonteringsverktyg!$D$29="Nej",Diskonteringsverktyg!$D$30="Ja"),$D17*Diskonteringsverktyg!$D$27*Diskonteringsverktyg!$D$28,Diskonteringsverktyg!$D$27*Diskonteringsverktyg!$D$28)))</f>
        <v>7668.5847596476251</v>
      </c>
      <c r="G17" s="23">
        <f>IF(AND(Diskonteringsverktyg!$D$33="Ja",Diskonteringsverktyg!$D$34="Ja"),$D17*$E17*Diskonteringsverktyg!$D$31*Diskonteringsverktyg!$D$32,IF(AND(Diskonteringsverktyg!$D$33="Ja",Diskonteringsverktyg!$D$34="Nej"),$E17*Diskonteringsverktyg!$D$31*Diskonteringsverktyg!$D$32,IF(AND(Diskonteringsverktyg!$D$33="Nej",Diskonteringsverktyg!$D$34="Ja"),$D17*Diskonteringsverktyg!$D$31*Diskonteringsverktyg!$D$32,Diskonteringsverktyg!$D$31*Diskonteringsverktyg!$D$32)))</f>
        <v>0</v>
      </c>
      <c r="H17" s="23">
        <f>IF(AND(Diskonteringsverktyg!$D$37="Ja",Diskonteringsverktyg!$D$38="Ja"),$D17*$E17*Diskonteringsverktyg!$D$35*Diskonteringsverktyg!$D$36,IF(AND(Diskonteringsverktyg!$D$37="Ja",Diskonteringsverktyg!$D$38="Nej"),$E17*Diskonteringsverktyg!$D$35*Diskonteringsverktyg!$D$36,IF(AND(Diskonteringsverktyg!$D$37="Nej",Diskonteringsverktyg!$D$38="Ja"),$D17*Diskonteringsverktyg!$D$35*Diskonteringsverktyg!$D$36,Diskonteringsverktyg!$D$35*Diskonteringsverktyg!$D$36)))</f>
        <v>0</v>
      </c>
      <c r="I17" s="23">
        <f>IF(AND(Diskonteringsverktyg!$D$41="Ja",Diskonteringsverktyg!$D$42="Ja"),$D17*$E17*Diskonteringsverktyg!$D$39*Diskonteringsverktyg!$D$40,IF(AND(Diskonteringsverktyg!$D$41="Ja",Diskonteringsverktyg!$D$42="Nej"),$E17*Diskonteringsverktyg!$D$39*Diskonteringsverktyg!$D$40,IF(AND(Diskonteringsverktyg!$D$41="Nej",Diskonteringsverktyg!$D$42="Ja"),$D17*Diskonteringsverktyg!$D$39*Diskonteringsverktyg!$D$40,Diskonteringsverktyg!$D$39*Diskonteringsverktyg!$D$40)))</f>
        <v>0</v>
      </c>
      <c r="J17" s="23">
        <f>IF(AND(Diskonteringsverktyg!$D$45="Ja",Diskonteringsverktyg!$D$46="Ja"),$D17*$E17*Diskonteringsverktyg!$D$43*Diskonteringsverktyg!$D$44,IF(AND(Diskonteringsverktyg!$D$45="Ja",Diskonteringsverktyg!$D$46="Nej"),$E17*Diskonteringsverktyg!$D$43*Diskonteringsverktyg!$D$44,IF(AND(Diskonteringsverktyg!$D$45="Nej",Diskonteringsverktyg!$D$46="Ja"),$D17*Diskonteringsverktyg!$D$43*Diskonteringsverktyg!$D$44,Diskonteringsverktyg!$D$43*Diskonteringsverktyg!$D$44)))</f>
        <v>0</v>
      </c>
      <c r="K17" s="23">
        <f t="shared" si="0"/>
        <v>7668.5847596476251</v>
      </c>
      <c r="L17" s="23">
        <f t="shared" si="1"/>
        <v>5252.5642614900798</v>
      </c>
      <c r="M17" s="23">
        <f>IF((B17&lt;=Diskonteringsverktyg!$D$16),Diskonteringsverktyg!$D$50*Diskonteringsverktyg!$D$14^(B17-Diskonteringsverktyg!$D$11),M16)</f>
        <v>1866.8712641751838</v>
      </c>
      <c r="N17" s="23">
        <f t="shared" si="2"/>
        <v>1278.7054704810957</v>
      </c>
      <c r="O17" s="30"/>
    </row>
    <row r="18" spans="1:15" x14ac:dyDescent="0.2">
      <c r="A18" s="97">
        <v>12</v>
      </c>
      <c r="B18" s="88">
        <f>Diskonteringsverktyg!$D$12+A18</f>
        <v>2040</v>
      </c>
      <c r="C18" s="22">
        <f>1/(Diskonteringsverktyg!$D$9)^(B18-Diskonteringsverktyg!$D$10)</f>
        <v>0.66178329828912896</v>
      </c>
      <c r="D18" s="21">
        <f>IF(B18&lt;=Diskonteringsverktyg!$D$15,Diskonteringsverktyg!$D$21^(B18-Diskonteringsverktyg!$D$24),IF(AND(B18&gt;Diskonteringsverktyg!$D$15,B18&lt;=Diskonteringsverktyg!$D$16),Diskonteringsverktyg!$D$21^(Diskonteringsverktyg!$D$15-Diskonteringsverktyg!$D$24)*Diskonteringsverktyg!$D$22^(B18-Diskonteringsverktyg!$D$15),D17))</f>
        <v>1.2323919403474466</v>
      </c>
      <c r="E18" s="21">
        <f>IF(B18&lt;=Diskonteringsverktyg!$D$16,(Diskonteringsverktyg!$D$13)^(B18-Diskonteringsverktyg!$D$23),E17)</f>
        <v>1.2714041633571027</v>
      </c>
      <c r="F18" s="23">
        <f>IF(AND(Diskonteringsverktyg!$D$29="Ja",Diskonteringsverktyg!$D$30="Ja"),$D18*$E18*Diskonteringsverktyg!$D$27*Diskonteringsverktyg!$D$28,IF(AND(Diskonteringsverktyg!$D$29="Ja",Diskonteringsverktyg!$D$30="Nej"),$E18*Diskonteringsverktyg!$D$27*Diskonteringsverktyg!$D$28,IF(AND(Diskonteringsverktyg!$D$29="Nej",Diskonteringsverktyg!$D$30="Ja"),$D18*Diskonteringsverktyg!$D$27*Diskonteringsverktyg!$D$28,Diskonteringsverktyg!$D$27*Diskonteringsverktyg!$D$28)))</f>
        <v>7834.3412192274091</v>
      </c>
      <c r="G18" s="23">
        <f>IF(AND(Diskonteringsverktyg!$D$33="Ja",Diskonteringsverktyg!$D$34="Ja"),$D18*$E18*Diskonteringsverktyg!$D$31*Diskonteringsverktyg!$D$32,IF(AND(Diskonteringsverktyg!$D$33="Ja",Diskonteringsverktyg!$D$34="Nej"),$E18*Diskonteringsverktyg!$D$31*Diskonteringsverktyg!$D$32,IF(AND(Diskonteringsverktyg!$D$33="Nej",Diskonteringsverktyg!$D$34="Ja"),$D18*Diskonteringsverktyg!$D$31*Diskonteringsverktyg!$D$32,Diskonteringsverktyg!$D$31*Diskonteringsverktyg!$D$32)))</f>
        <v>0</v>
      </c>
      <c r="H18" s="23">
        <f>IF(AND(Diskonteringsverktyg!$D$37="Ja",Diskonteringsverktyg!$D$38="Ja"),$D18*$E18*Diskonteringsverktyg!$D$35*Diskonteringsverktyg!$D$36,IF(AND(Diskonteringsverktyg!$D$37="Ja",Diskonteringsverktyg!$D$38="Nej"),$E18*Diskonteringsverktyg!$D$35*Diskonteringsverktyg!$D$36,IF(AND(Diskonteringsverktyg!$D$37="Nej",Diskonteringsverktyg!$D$38="Ja"),$D18*Diskonteringsverktyg!$D$35*Diskonteringsverktyg!$D$36,Diskonteringsverktyg!$D$35*Diskonteringsverktyg!$D$36)))</f>
        <v>0</v>
      </c>
      <c r="I18" s="23">
        <f>IF(AND(Diskonteringsverktyg!$D$41="Ja",Diskonteringsverktyg!$D$42="Ja"),$D18*$E18*Diskonteringsverktyg!$D$39*Diskonteringsverktyg!$D$40,IF(AND(Diskonteringsverktyg!$D$41="Ja",Diskonteringsverktyg!$D$42="Nej"),$E18*Diskonteringsverktyg!$D$39*Diskonteringsverktyg!$D$40,IF(AND(Diskonteringsverktyg!$D$41="Nej",Diskonteringsverktyg!$D$42="Ja"),$D18*Diskonteringsverktyg!$D$39*Diskonteringsverktyg!$D$40,Diskonteringsverktyg!$D$39*Diskonteringsverktyg!$D$40)))</f>
        <v>0</v>
      </c>
      <c r="J18" s="23">
        <f>IF(AND(Diskonteringsverktyg!$D$45="Ja",Diskonteringsverktyg!$D$46="Ja"),$D18*$E18*Diskonteringsverktyg!$D$43*Diskonteringsverktyg!$D$44,IF(AND(Diskonteringsverktyg!$D$45="Ja",Diskonteringsverktyg!$D$46="Nej"),$E18*Diskonteringsverktyg!$D$43*Diskonteringsverktyg!$D$44,IF(AND(Diskonteringsverktyg!$D$45="Nej",Diskonteringsverktyg!$D$46="Ja"),$D18*Diskonteringsverktyg!$D$43*Diskonteringsverktyg!$D$44,Diskonteringsverktyg!$D$43*Diskonteringsverktyg!$D$44)))</f>
        <v>0</v>
      </c>
      <c r="K18" s="23">
        <f t="shared" si="0"/>
        <v>7834.3412192274091</v>
      </c>
      <c r="L18" s="23">
        <f t="shared" si="1"/>
        <v>5184.636171982791</v>
      </c>
      <c r="M18" s="23">
        <f>IF((B18&lt;=Diskonteringsverktyg!$D$16),Diskonteringsverktyg!$D$50*Diskonteringsverktyg!$D$14^(B18-Diskonteringsverktyg!$D$11),M17)</f>
        <v>1887.4068480811104</v>
      </c>
      <c r="N18" s="23">
        <f t="shared" si="2"/>
        <v>1249.0543291366062</v>
      </c>
      <c r="O18" s="30"/>
    </row>
    <row r="19" spans="1:15" x14ac:dyDescent="0.2">
      <c r="A19" s="97">
        <v>13</v>
      </c>
      <c r="B19" s="88">
        <f>Diskonteringsverktyg!$D$12+A19</f>
        <v>2041</v>
      </c>
      <c r="C19" s="22">
        <f>1/(Diskonteringsverktyg!$D$9)^(B19-Diskonteringsverktyg!$D$10)</f>
        <v>0.63940415293635666</v>
      </c>
      <c r="D19" s="21">
        <f>IF(B19&lt;=Diskonteringsverktyg!$D$15,Diskonteringsverktyg!$D$21^(B19-Diskonteringsverktyg!$D$24),IF(AND(B19&gt;Diskonteringsverktyg!$D$15,B19&lt;=Diskonteringsverktyg!$D$16),Diskonteringsverktyg!$D$21^(Diskonteringsverktyg!$D$15-Diskonteringsverktyg!$D$24)*Diskonteringsverktyg!$D$22^(B19-Diskonteringsverktyg!$D$15),D18))</f>
        <v>1.2447158597509214</v>
      </c>
      <c r="E19" s="21">
        <f>IF(B19&lt;=Diskonteringsverktyg!$D$16,(Diskonteringsverktyg!$D$13)^(B19-Diskonteringsverktyg!$D$23),E18)</f>
        <v>1.2860253112357094</v>
      </c>
      <c r="F19" s="23">
        <f>IF(AND(Diskonteringsverktyg!$D$29="Ja",Diskonteringsverktyg!$D$30="Ja"),$D19*$E19*Diskonteringsverktyg!$D$27*Diskonteringsverktyg!$D$28,IF(AND(Diskonteringsverktyg!$D$29="Ja",Diskonteringsverktyg!$D$30="Nej"),$E19*Diskonteringsverktyg!$D$27*Diskonteringsverktyg!$D$28,IF(AND(Diskonteringsverktyg!$D$29="Nej",Diskonteringsverktyg!$D$30="Ja"),$D19*Diskonteringsverktyg!$D$27*Diskonteringsverktyg!$D$28,Diskonteringsverktyg!$D$27*Diskonteringsverktyg!$D$28)))</f>
        <v>8003.6805046810114</v>
      </c>
      <c r="G19" s="23">
        <f>IF(AND(Diskonteringsverktyg!$D$33="Ja",Diskonteringsverktyg!$D$34="Ja"),$D19*$E19*Diskonteringsverktyg!$D$31*Diskonteringsverktyg!$D$32,IF(AND(Diskonteringsverktyg!$D$33="Ja",Diskonteringsverktyg!$D$34="Nej"),$E19*Diskonteringsverktyg!$D$31*Diskonteringsverktyg!$D$32,IF(AND(Diskonteringsverktyg!$D$33="Nej",Diskonteringsverktyg!$D$34="Ja"),$D19*Diskonteringsverktyg!$D$31*Diskonteringsverktyg!$D$32,Diskonteringsverktyg!$D$31*Diskonteringsverktyg!$D$32)))</f>
        <v>0</v>
      </c>
      <c r="H19" s="23">
        <f>IF(AND(Diskonteringsverktyg!$D$37="Ja",Diskonteringsverktyg!$D$38="Ja"),$D19*$E19*Diskonteringsverktyg!$D$35*Diskonteringsverktyg!$D$36,IF(AND(Diskonteringsverktyg!$D$37="Ja",Diskonteringsverktyg!$D$38="Nej"),$E19*Diskonteringsverktyg!$D$35*Diskonteringsverktyg!$D$36,IF(AND(Diskonteringsverktyg!$D$37="Nej",Diskonteringsverktyg!$D$38="Ja"),$D19*Diskonteringsverktyg!$D$35*Diskonteringsverktyg!$D$36,Diskonteringsverktyg!$D$35*Diskonteringsverktyg!$D$36)))</f>
        <v>0</v>
      </c>
      <c r="I19" s="23">
        <f>IF(AND(Diskonteringsverktyg!$D$41="Ja",Diskonteringsverktyg!$D$42="Ja"),$D19*$E19*Diskonteringsverktyg!$D$39*Diskonteringsverktyg!$D$40,IF(AND(Diskonteringsverktyg!$D$41="Ja",Diskonteringsverktyg!$D$42="Nej"),$E19*Diskonteringsverktyg!$D$39*Diskonteringsverktyg!$D$40,IF(AND(Diskonteringsverktyg!$D$41="Nej",Diskonteringsverktyg!$D$42="Ja"),$D19*Diskonteringsverktyg!$D$39*Diskonteringsverktyg!$D$40,Diskonteringsverktyg!$D$39*Diskonteringsverktyg!$D$40)))</f>
        <v>0</v>
      </c>
      <c r="J19" s="23">
        <f>IF(AND(Diskonteringsverktyg!$D$45="Ja",Diskonteringsverktyg!$D$46="Ja"),$D19*$E19*Diskonteringsverktyg!$D$43*Diskonteringsverktyg!$D$44,IF(AND(Diskonteringsverktyg!$D$45="Ja",Diskonteringsverktyg!$D$46="Nej"),$E19*Diskonteringsverktyg!$D$43*Diskonteringsverktyg!$D$44,IF(AND(Diskonteringsverktyg!$D$45="Nej",Diskonteringsverktyg!$D$46="Ja"),$D19*Diskonteringsverktyg!$D$43*Diskonteringsverktyg!$D$44,Diskonteringsverktyg!$D$43*Diskonteringsverktyg!$D$44)))</f>
        <v>0</v>
      </c>
      <c r="K19" s="23">
        <f t="shared" si="0"/>
        <v>8003.6805046810114</v>
      </c>
      <c r="L19" s="23">
        <f t="shared" si="1"/>
        <v>5117.5865534687937</v>
      </c>
      <c r="M19" s="23">
        <f>IF((B19&lt;=Diskonteringsverktyg!$D$16),Diskonteringsverktyg!$D$50*Diskonteringsverktyg!$D$14^(B19-Diskonteringsverktyg!$D$11),M18)</f>
        <v>1908.1683234100026</v>
      </c>
      <c r="N19" s="23">
        <f t="shared" si="2"/>
        <v>1220.0907504899606</v>
      </c>
      <c r="O19" s="30"/>
    </row>
    <row r="20" spans="1:15" x14ac:dyDescent="0.2">
      <c r="A20" s="97">
        <v>14</v>
      </c>
      <c r="B20" s="88">
        <f>Diskonteringsverktyg!$D$12+A20</f>
        <v>2042</v>
      </c>
      <c r="C20" s="22">
        <f>1/(Diskonteringsverktyg!$D$9)^(B20-Diskonteringsverktyg!$D$10)</f>
        <v>0.61778179027667302</v>
      </c>
      <c r="D20" s="21">
        <f>IF(B20&lt;=Diskonteringsverktyg!$D$15,Diskonteringsverktyg!$D$21^(B20-Diskonteringsverktyg!$D$24),IF(AND(B20&gt;Diskonteringsverktyg!$D$15,B20&lt;=Diskonteringsverktyg!$D$16),Diskonteringsverktyg!$D$21^(Diskonteringsverktyg!$D$15-Diskonteringsverktyg!$D$24)*Diskonteringsverktyg!$D$22^(B20-Diskonteringsverktyg!$D$15),D19))</f>
        <v>1.2571630183484304</v>
      </c>
      <c r="E20" s="21">
        <f>IF(B20&lt;=Diskonteringsverktyg!$D$16,(Diskonteringsverktyg!$D$13)^(B20-Diskonteringsverktyg!$D$23),E19)</f>
        <v>1.3008146023149203</v>
      </c>
      <c r="F20" s="23">
        <f>IF(AND(Diskonteringsverktyg!$D$29="Ja",Diskonteringsverktyg!$D$30="Ja"),$D20*$E20*Diskonteringsverktyg!$D$27*Diskonteringsverktyg!$D$28,IF(AND(Diskonteringsverktyg!$D$29="Ja",Diskonteringsverktyg!$D$30="Nej"),$E20*Diskonteringsverktyg!$D$27*Diskonteringsverktyg!$D$28,IF(AND(Diskonteringsverktyg!$D$29="Nej",Diskonteringsverktyg!$D$30="Ja"),$D20*Diskonteringsverktyg!$D$27*Diskonteringsverktyg!$D$28,Diskonteringsverktyg!$D$27*Diskonteringsverktyg!$D$28)))</f>
        <v>8176.6800587896914</v>
      </c>
      <c r="G20" s="23">
        <f>IF(AND(Diskonteringsverktyg!$D$33="Ja",Diskonteringsverktyg!$D$34="Ja"),$D20*$E20*Diskonteringsverktyg!$D$31*Diskonteringsverktyg!$D$32,IF(AND(Diskonteringsverktyg!$D$33="Ja",Diskonteringsverktyg!$D$34="Nej"),$E20*Diskonteringsverktyg!$D$31*Diskonteringsverktyg!$D$32,IF(AND(Diskonteringsverktyg!$D$33="Nej",Diskonteringsverktyg!$D$34="Ja"),$D20*Diskonteringsverktyg!$D$31*Diskonteringsverktyg!$D$32,Diskonteringsverktyg!$D$31*Diskonteringsverktyg!$D$32)))</f>
        <v>0</v>
      </c>
      <c r="H20" s="23">
        <f>IF(AND(Diskonteringsverktyg!$D$37="Ja",Diskonteringsverktyg!$D$38="Ja"),$D20*$E20*Diskonteringsverktyg!$D$35*Diskonteringsverktyg!$D$36,IF(AND(Diskonteringsverktyg!$D$37="Ja",Diskonteringsverktyg!$D$38="Nej"),$E20*Diskonteringsverktyg!$D$35*Diskonteringsverktyg!$D$36,IF(AND(Diskonteringsverktyg!$D$37="Nej",Diskonteringsverktyg!$D$38="Ja"),$D20*Diskonteringsverktyg!$D$35*Diskonteringsverktyg!$D$36,Diskonteringsverktyg!$D$35*Diskonteringsverktyg!$D$36)))</f>
        <v>0</v>
      </c>
      <c r="I20" s="23">
        <f>IF(AND(Diskonteringsverktyg!$D$41="Ja",Diskonteringsverktyg!$D$42="Ja"),$D20*$E20*Diskonteringsverktyg!$D$39*Diskonteringsverktyg!$D$40,IF(AND(Diskonteringsverktyg!$D$41="Ja",Diskonteringsverktyg!$D$42="Nej"),$E20*Diskonteringsverktyg!$D$39*Diskonteringsverktyg!$D$40,IF(AND(Diskonteringsverktyg!$D$41="Nej",Diskonteringsverktyg!$D$42="Ja"),$D20*Diskonteringsverktyg!$D$39*Diskonteringsverktyg!$D$40,Diskonteringsverktyg!$D$39*Diskonteringsverktyg!$D$40)))</f>
        <v>0</v>
      </c>
      <c r="J20" s="23">
        <f>IF(AND(Diskonteringsverktyg!$D$45="Ja",Diskonteringsverktyg!$D$46="Ja"),$D20*$E20*Diskonteringsverktyg!$D$43*Diskonteringsverktyg!$D$44,IF(AND(Diskonteringsverktyg!$D$45="Ja",Diskonteringsverktyg!$D$46="Nej"),$E20*Diskonteringsverktyg!$D$43*Diskonteringsverktyg!$D$44,IF(AND(Diskonteringsverktyg!$D$45="Nej",Diskonteringsverktyg!$D$46="Ja"),$D20*Diskonteringsverktyg!$D$43*Diskonteringsverktyg!$D$44,Diskonteringsverktyg!$D$43*Diskonteringsverktyg!$D$44)))</f>
        <v>0</v>
      </c>
      <c r="K20" s="23">
        <f t="shared" si="0"/>
        <v>8176.6800587896914</v>
      </c>
      <c r="L20" s="23">
        <f t="shared" si="1"/>
        <v>5051.4040452386671</v>
      </c>
      <c r="M20" s="23">
        <f>IF((B20&lt;=Diskonteringsverktyg!$D$16),Diskonteringsverktyg!$D$50*Diskonteringsverktyg!$D$14^(B20-Diskonteringsverktyg!$D$11),M19)</f>
        <v>1929.1581749675127</v>
      </c>
      <c r="N20" s="23">
        <f t="shared" si="2"/>
        <v>1191.7987910583092</v>
      </c>
      <c r="O20" s="30"/>
    </row>
    <row r="21" spans="1:15" x14ac:dyDescent="0.2">
      <c r="A21" s="97">
        <v>15</v>
      </c>
      <c r="B21" s="88">
        <f>Diskonteringsverktyg!$D$12+A21</f>
        <v>2043</v>
      </c>
      <c r="C21" s="22">
        <f>1/(Diskonteringsverktyg!$D$9)^(B21-Diskonteringsverktyg!$D$10)</f>
        <v>0.59689061862480497</v>
      </c>
      <c r="D21" s="21">
        <f>IF(B21&lt;=Diskonteringsverktyg!$D$15,Diskonteringsverktyg!$D$21^(B21-Diskonteringsverktyg!$D$24),IF(AND(B21&gt;Diskonteringsverktyg!$D$15,B21&lt;=Diskonteringsverktyg!$D$16),Diskonteringsverktyg!$D$21^(Diskonteringsverktyg!$D$15-Diskonteringsverktyg!$D$24)*Diskonteringsverktyg!$D$22^(B21-Diskonteringsverktyg!$D$15),D20))</f>
        <v>1.269734648531915</v>
      </c>
      <c r="E21" s="21">
        <f>IF(B21&lt;=Diskonteringsverktyg!$D$16,(Diskonteringsverktyg!$D$13)^(B21-Diskonteringsverktyg!$D$23),E20)</f>
        <v>1.3157739702415421</v>
      </c>
      <c r="F21" s="23">
        <f>IF(AND(Diskonteringsverktyg!$D$29="Ja",Diskonteringsverktyg!$D$30="Ja"),$D21*$E21*Diskonteringsverktyg!$D$27*Diskonteringsverktyg!$D$28,IF(AND(Diskonteringsverktyg!$D$29="Ja",Diskonteringsverktyg!$D$30="Nej"),$E21*Diskonteringsverktyg!$D$27*Diskonteringsverktyg!$D$28,IF(AND(Diskonteringsverktyg!$D$29="Nej",Diskonteringsverktyg!$D$30="Ja"),$D21*Diskonteringsverktyg!$D$27*Diskonteringsverktyg!$D$28,Diskonteringsverktyg!$D$27*Diskonteringsverktyg!$D$28)))</f>
        <v>8353.418998260433</v>
      </c>
      <c r="G21" s="23">
        <f>IF(AND(Diskonteringsverktyg!$D$33="Ja",Diskonteringsverktyg!$D$34="Ja"),$D21*$E21*Diskonteringsverktyg!$D$31*Diskonteringsverktyg!$D$32,IF(AND(Diskonteringsverktyg!$D$33="Ja",Diskonteringsverktyg!$D$34="Nej"),$E21*Diskonteringsverktyg!$D$31*Diskonteringsverktyg!$D$32,IF(AND(Diskonteringsverktyg!$D$33="Nej",Diskonteringsverktyg!$D$34="Ja"),$D21*Diskonteringsverktyg!$D$31*Diskonteringsverktyg!$D$32,Diskonteringsverktyg!$D$31*Diskonteringsverktyg!$D$32)))</f>
        <v>0</v>
      </c>
      <c r="H21" s="23">
        <f>IF(AND(Diskonteringsverktyg!$D$37="Ja",Diskonteringsverktyg!$D$38="Ja"),$D21*$E21*Diskonteringsverktyg!$D$35*Diskonteringsverktyg!$D$36,IF(AND(Diskonteringsverktyg!$D$37="Ja",Diskonteringsverktyg!$D$38="Nej"),$E21*Diskonteringsverktyg!$D$35*Diskonteringsverktyg!$D$36,IF(AND(Diskonteringsverktyg!$D$37="Nej",Diskonteringsverktyg!$D$38="Ja"),$D21*Diskonteringsverktyg!$D$35*Diskonteringsverktyg!$D$36,Diskonteringsverktyg!$D$35*Diskonteringsverktyg!$D$36)))</f>
        <v>0</v>
      </c>
      <c r="I21" s="23">
        <f>IF(AND(Diskonteringsverktyg!$D$41="Ja",Diskonteringsverktyg!$D$42="Ja"),$D21*$E21*Diskonteringsverktyg!$D$39*Diskonteringsverktyg!$D$40,IF(AND(Diskonteringsverktyg!$D$41="Ja",Diskonteringsverktyg!$D$42="Nej"),$E21*Diskonteringsverktyg!$D$39*Diskonteringsverktyg!$D$40,IF(AND(Diskonteringsverktyg!$D$41="Nej",Diskonteringsverktyg!$D$42="Ja"),$D21*Diskonteringsverktyg!$D$39*Diskonteringsverktyg!$D$40,Diskonteringsverktyg!$D$39*Diskonteringsverktyg!$D$40)))</f>
        <v>0</v>
      </c>
      <c r="J21" s="23">
        <f>IF(AND(Diskonteringsverktyg!$D$45="Ja",Diskonteringsverktyg!$D$46="Ja"),$D21*$E21*Diskonteringsverktyg!$D$43*Diskonteringsverktyg!$D$44,IF(AND(Diskonteringsverktyg!$D$45="Ja",Diskonteringsverktyg!$D$46="Nej"),$E21*Diskonteringsverktyg!$D$43*Diskonteringsverktyg!$D$44,IF(AND(Diskonteringsverktyg!$D$45="Nej",Diskonteringsverktyg!$D$46="Ja"),$D21*Diskonteringsverktyg!$D$43*Diskonteringsverktyg!$D$44,Diskonteringsverktyg!$D$43*Diskonteringsverktyg!$D$44)))</f>
        <v>0</v>
      </c>
      <c r="K21" s="23">
        <f t="shared" si="0"/>
        <v>8353.418998260433</v>
      </c>
      <c r="L21" s="23">
        <f t="shared" si="1"/>
        <v>4986.0774335038686</v>
      </c>
      <c r="M21" s="23">
        <f>IF((B21&lt;=Diskonteringsverktyg!$D$16),Diskonteringsverktyg!$D$50*Diskonteringsverktyg!$D$14^(B21-Diskonteringsverktyg!$D$11),M20)</f>
        <v>1950.3789148921553</v>
      </c>
      <c r="N21" s="23">
        <f t="shared" si="2"/>
        <v>1164.1628770627544</v>
      </c>
      <c r="O21" s="30"/>
    </row>
    <row r="22" spans="1:15" x14ac:dyDescent="0.2">
      <c r="A22" s="97">
        <v>16</v>
      </c>
      <c r="B22" s="88">
        <f>Diskonteringsverktyg!$D$12+A22</f>
        <v>2044</v>
      </c>
      <c r="C22" s="22">
        <f>1/(Diskonteringsverktyg!$D$9)^(B22-Diskonteringsverktyg!$D$10)</f>
        <v>0.57670591171478747</v>
      </c>
      <c r="D22" s="21">
        <f>IF(B22&lt;=Diskonteringsverktyg!$D$15,Diskonteringsverktyg!$D$21^(B22-Diskonteringsverktyg!$D$24),IF(AND(B22&gt;Diskonteringsverktyg!$D$15,B22&lt;=Diskonteringsverktyg!$D$16),Diskonteringsverktyg!$D$21^(Diskonteringsverktyg!$D$15-Diskonteringsverktyg!$D$24)*Diskonteringsverktyg!$D$22^(B22-Diskonteringsverktyg!$D$15),D21))</f>
        <v>1.2824319950172343</v>
      </c>
      <c r="E22" s="21">
        <f>IF(B22&lt;=Diskonteringsverktyg!$D$16,(Diskonteringsverktyg!$D$13)^(B22-Diskonteringsverktyg!$D$23),E21)</f>
        <v>1.3309053708993199</v>
      </c>
      <c r="F22" s="23">
        <f>IF(AND(Diskonteringsverktyg!$D$29="Ja",Diskonteringsverktyg!$D$30="Ja"),$D22*$E22*Diskonteringsverktyg!$D$27*Diskonteringsverktyg!$D$28,IF(AND(Diskonteringsverktyg!$D$29="Ja",Diskonteringsverktyg!$D$30="Nej"),$E22*Diskonteringsverktyg!$D$27*Diskonteringsverktyg!$D$28,IF(AND(Diskonteringsverktyg!$D$29="Nej",Diskonteringsverktyg!$D$30="Ja"),$D22*Diskonteringsverktyg!$D$27*Diskonteringsverktyg!$D$28,Diskonteringsverktyg!$D$27*Diskonteringsverktyg!$D$28)))</f>
        <v>8533.9781499078344</v>
      </c>
      <c r="G22" s="23">
        <f>IF(AND(Diskonteringsverktyg!$D$33="Ja",Diskonteringsverktyg!$D$34="Ja"),$D22*$E22*Diskonteringsverktyg!$D$31*Diskonteringsverktyg!$D$32,IF(AND(Diskonteringsverktyg!$D$33="Ja",Diskonteringsverktyg!$D$34="Nej"),$E22*Diskonteringsverktyg!$D$31*Diskonteringsverktyg!$D$32,IF(AND(Diskonteringsverktyg!$D$33="Nej",Diskonteringsverktyg!$D$34="Ja"),$D22*Diskonteringsverktyg!$D$31*Diskonteringsverktyg!$D$32,Diskonteringsverktyg!$D$31*Diskonteringsverktyg!$D$32)))</f>
        <v>0</v>
      </c>
      <c r="H22" s="23">
        <f>IF(AND(Diskonteringsverktyg!$D$37="Ja",Diskonteringsverktyg!$D$38="Ja"),$D22*$E22*Diskonteringsverktyg!$D$35*Diskonteringsverktyg!$D$36,IF(AND(Diskonteringsverktyg!$D$37="Ja",Diskonteringsverktyg!$D$38="Nej"),$E22*Diskonteringsverktyg!$D$35*Diskonteringsverktyg!$D$36,IF(AND(Diskonteringsverktyg!$D$37="Nej",Diskonteringsverktyg!$D$38="Ja"),$D22*Diskonteringsverktyg!$D$35*Diskonteringsverktyg!$D$36,Diskonteringsverktyg!$D$35*Diskonteringsverktyg!$D$36)))</f>
        <v>0</v>
      </c>
      <c r="I22" s="23">
        <f>IF(AND(Diskonteringsverktyg!$D$41="Ja",Diskonteringsverktyg!$D$42="Ja"),$D22*$E22*Diskonteringsverktyg!$D$39*Diskonteringsverktyg!$D$40,IF(AND(Diskonteringsverktyg!$D$41="Ja",Diskonteringsverktyg!$D$42="Nej"),$E22*Diskonteringsverktyg!$D$39*Diskonteringsverktyg!$D$40,IF(AND(Diskonteringsverktyg!$D$41="Nej",Diskonteringsverktyg!$D$42="Ja"),$D22*Diskonteringsverktyg!$D$39*Diskonteringsverktyg!$D$40,Diskonteringsverktyg!$D$39*Diskonteringsverktyg!$D$40)))</f>
        <v>0</v>
      </c>
      <c r="J22" s="23">
        <f>IF(AND(Diskonteringsverktyg!$D$45="Ja",Diskonteringsverktyg!$D$46="Ja"),$D22*$E22*Diskonteringsverktyg!$D$43*Diskonteringsverktyg!$D$44,IF(AND(Diskonteringsverktyg!$D$45="Ja",Diskonteringsverktyg!$D$46="Nej"),$E22*Diskonteringsverktyg!$D$43*Diskonteringsverktyg!$D$44,IF(AND(Diskonteringsverktyg!$D$45="Nej",Diskonteringsverktyg!$D$46="Ja"),$D22*Diskonteringsverktyg!$D$43*Diskonteringsverktyg!$D$44,Diskonteringsverktyg!$D$43*Diskonteringsverktyg!$D$44)))</f>
        <v>0</v>
      </c>
      <c r="K22" s="23">
        <f t="shared" si="0"/>
        <v>8533.9781499078344</v>
      </c>
      <c r="L22" s="23">
        <f t="shared" si="1"/>
        <v>4921.5956494966731</v>
      </c>
      <c r="M22" s="23">
        <f>IF((B22&lt;=Diskonteringsverktyg!$D$16),Diskonteringsverktyg!$D$50*Diskonteringsverktyg!$D$14^(B22-Diskonteringsverktyg!$D$11),M21)</f>
        <v>1971.8330829559686</v>
      </c>
      <c r="N22" s="23">
        <f t="shared" si="2"/>
        <v>1137.1677958555019</v>
      </c>
      <c r="O22" s="30"/>
    </row>
    <row r="23" spans="1:15" x14ac:dyDescent="0.2">
      <c r="A23" s="98">
        <v>17</v>
      </c>
      <c r="B23" s="95">
        <f>Diskonteringsverktyg!$D$12+A23</f>
        <v>2045</v>
      </c>
      <c r="C23" s="84">
        <f>1/(Diskonteringsverktyg!$D$9)^(B23-Diskonteringsverktyg!$D$10)</f>
        <v>0.55720377943457733</v>
      </c>
      <c r="D23" s="85">
        <f>IF(B23&lt;=Diskonteringsverktyg!$D$15,Diskonteringsverktyg!$D$21^(B23-Diskonteringsverktyg!$D$24),IF(AND(B23&gt;Diskonteringsverktyg!$D$15,B23&lt;=Diskonteringsverktyg!$D$16),Diskonteringsverktyg!$D$21^(Diskonteringsverktyg!$D$15-Diskonteringsverktyg!$D$24)*Diskonteringsverktyg!$D$22^(B23-Diskonteringsverktyg!$D$15),D22))</f>
        <v>1.2952563149674066</v>
      </c>
      <c r="E23" s="85">
        <f>IF(B23&lt;=Diskonteringsverktyg!$D$16,(Diskonteringsverktyg!$D$13)^(B23-Diskonteringsverktyg!$D$23),E22)</f>
        <v>1.3462107826646623</v>
      </c>
      <c r="F23" s="86">
        <f>IF(AND(Diskonteringsverktyg!$D$29="Ja",Diskonteringsverktyg!$D$30="Ja"),$D23*$E23*Diskonteringsverktyg!$D$27*Diskonteringsverktyg!$D$28,IF(AND(Diskonteringsverktyg!$D$29="Ja",Diskonteringsverktyg!$D$30="Nej"),$E23*Diskonteringsverktyg!$D$27*Diskonteringsverktyg!$D$28,IF(AND(Diskonteringsverktyg!$D$29="Nej",Diskonteringsverktyg!$D$30="Ja"),$D23*Diskonteringsverktyg!$D$27*Diskonteringsverktyg!$D$28,Diskonteringsverktyg!$D$27*Diskonteringsverktyg!$D$28)))</f>
        <v>8718.4400876180935</v>
      </c>
      <c r="G23" s="86">
        <f>IF(AND(Diskonteringsverktyg!$D$33="Ja",Diskonteringsverktyg!$D$34="Ja"),$D23*$E23*Diskonteringsverktyg!$D$31*Diskonteringsverktyg!$D$32,IF(AND(Diskonteringsverktyg!$D$33="Ja",Diskonteringsverktyg!$D$34="Nej"),$E23*Diskonteringsverktyg!$D$31*Diskonteringsverktyg!$D$32,IF(AND(Diskonteringsverktyg!$D$33="Nej",Diskonteringsverktyg!$D$34="Ja"),$D23*Diskonteringsverktyg!$D$31*Diskonteringsverktyg!$D$32,Diskonteringsverktyg!$D$31*Diskonteringsverktyg!$D$32)))</f>
        <v>0</v>
      </c>
      <c r="H23" s="86">
        <f>IF(AND(Diskonteringsverktyg!$D$37="Ja",Diskonteringsverktyg!$D$38="Ja"),$D23*$E23*Diskonteringsverktyg!$D$35*Diskonteringsverktyg!$D$36,IF(AND(Diskonteringsverktyg!$D$37="Ja",Diskonteringsverktyg!$D$38="Nej"),$E23*Diskonteringsverktyg!$D$35*Diskonteringsverktyg!$D$36,IF(AND(Diskonteringsverktyg!$D$37="Nej",Diskonteringsverktyg!$D$38="Ja"),$D23*Diskonteringsverktyg!$D$35*Diskonteringsverktyg!$D$36,Diskonteringsverktyg!$D$35*Diskonteringsverktyg!$D$36)))</f>
        <v>0</v>
      </c>
      <c r="I23" s="86">
        <f>IF(AND(Diskonteringsverktyg!$D$41="Ja",Diskonteringsverktyg!$D$42="Ja"),$D23*$E23*Diskonteringsverktyg!$D$39*Diskonteringsverktyg!$D$40,IF(AND(Diskonteringsverktyg!$D$41="Ja",Diskonteringsverktyg!$D$42="Nej"),$E23*Diskonteringsverktyg!$D$39*Diskonteringsverktyg!$D$40,IF(AND(Diskonteringsverktyg!$D$41="Nej",Diskonteringsverktyg!$D$42="Ja"),$D23*Diskonteringsverktyg!$D$39*Diskonteringsverktyg!$D$40,Diskonteringsverktyg!$D$39*Diskonteringsverktyg!$D$40)))</f>
        <v>0</v>
      </c>
      <c r="J23" s="86">
        <f>IF(AND(Diskonteringsverktyg!$D$45="Ja",Diskonteringsverktyg!$D$46="Ja"),$D23*$E23*Diskonteringsverktyg!$D$43*Diskonteringsverktyg!$D$44,IF(AND(Diskonteringsverktyg!$D$45="Ja",Diskonteringsverktyg!$D$46="Nej"),$E23*Diskonteringsverktyg!$D$43*Diskonteringsverktyg!$D$44,IF(AND(Diskonteringsverktyg!$D$45="Nej",Diskonteringsverktyg!$D$46="Ja"),$D23*Diskonteringsverktyg!$D$43*Diskonteringsverktyg!$D$44,Diskonteringsverktyg!$D$43*Diskonteringsverktyg!$D$44)))</f>
        <v>0</v>
      </c>
      <c r="K23" s="86">
        <f t="shared" si="0"/>
        <v>8718.4400876180935</v>
      </c>
      <c r="L23" s="86">
        <f t="shared" si="1"/>
        <v>4857.9477675947292</v>
      </c>
      <c r="M23" s="86">
        <f>IF((B23&lt;=Diskonteringsverktyg!$D$16),Diskonteringsverktyg!$D$50*Diskonteringsverktyg!$D$14^(B23-Diskonteringsverktyg!$D$11),M22)</f>
        <v>1993.5232468684842</v>
      </c>
      <c r="N23" s="86">
        <f t="shared" si="2"/>
        <v>1110.7986875458093</v>
      </c>
      <c r="O23" s="87"/>
    </row>
    <row r="24" spans="1:15" x14ac:dyDescent="0.2">
      <c r="A24" s="97">
        <v>18</v>
      </c>
      <c r="B24" s="88">
        <f>Diskonteringsverktyg!$D$12+A24</f>
        <v>2046</v>
      </c>
      <c r="C24" s="22">
        <f>1/(Diskonteringsverktyg!$D$9)^(B24-Diskonteringsverktyg!$D$10)</f>
        <v>0.53836113955031628</v>
      </c>
      <c r="D24" s="21">
        <f>IF(B24&lt;=Diskonteringsverktyg!$D$15,Diskonteringsverktyg!$D$21^(B24-Diskonteringsverktyg!$D$24),IF(AND(B24&gt;Diskonteringsverktyg!$D$15,B24&lt;=Diskonteringsverktyg!$D$16),Diskonteringsverktyg!$D$21^(Diskonteringsverktyg!$D$15-Diskonteringsverktyg!$D$24)*Diskonteringsverktyg!$D$22^(B24-Diskonteringsverktyg!$D$15),D23))</f>
        <v>1.3017325965422435</v>
      </c>
      <c r="E24" s="21">
        <f>IF(B24&lt;=Diskonteringsverktyg!$D$16,(Diskonteringsverktyg!$D$13)^(B24-Diskonteringsverktyg!$D$23),E23)</f>
        <v>1.3616922066653059</v>
      </c>
      <c r="F24" s="23">
        <f>IF(AND(Diskonteringsverktyg!$D$29="Ja",Diskonteringsverktyg!$D$30="Ja"),$D24*$E24*Diskonteringsverktyg!$D$27*Diskonteringsverktyg!$D$28,IF(AND(Diskonteringsverktyg!$D$29="Ja",Diskonteringsverktyg!$D$30="Nej"),$E24*Diskonteringsverktyg!$D$27*Diskonteringsverktyg!$D$28,IF(AND(Diskonteringsverktyg!$D$29="Nej",Diskonteringsverktyg!$D$30="Ja"),$D24*Diskonteringsverktyg!$D$27*Diskonteringsverktyg!$D$28,Diskonteringsverktyg!$D$27*Diskonteringsverktyg!$D$28)))</f>
        <v>8862.7956593688286</v>
      </c>
      <c r="G24" s="23">
        <f>IF(AND(Diskonteringsverktyg!$D$33="Ja",Diskonteringsverktyg!$D$34="Ja"),$D24*$E24*Diskonteringsverktyg!$D$31*Diskonteringsverktyg!$D$32,IF(AND(Diskonteringsverktyg!$D$33="Ja",Diskonteringsverktyg!$D$34="Nej"),$E24*Diskonteringsverktyg!$D$31*Diskonteringsverktyg!$D$32,IF(AND(Diskonteringsverktyg!$D$33="Nej",Diskonteringsverktyg!$D$34="Ja"),$D24*Diskonteringsverktyg!$D$31*Diskonteringsverktyg!$D$32,Diskonteringsverktyg!$D$31*Diskonteringsverktyg!$D$32)))</f>
        <v>0</v>
      </c>
      <c r="H24" s="23">
        <f>IF(AND(Diskonteringsverktyg!$D$37="Ja",Diskonteringsverktyg!$D$38="Ja"),$D24*$E24*Diskonteringsverktyg!$D$35*Diskonteringsverktyg!$D$36,IF(AND(Diskonteringsverktyg!$D$37="Ja",Diskonteringsverktyg!$D$38="Nej"),$E24*Diskonteringsverktyg!$D$35*Diskonteringsverktyg!$D$36,IF(AND(Diskonteringsverktyg!$D$37="Nej",Diskonteringsverktyg!$D$38="Ja"),$D24*Diskonteringsverktyg!$D$35*Diskonteringsverktyg!$D$36,Diskonteringsverktyg!$D$35*Diskonteringsverktyg!$D$36)))</f>
        <v>0</v>
      </c>
      <c r="I24" s="23">
        <f>IF(AND(Diskonteringsverktyg!$D$41="Ja",Diskonteringsverktyg!$D$42="Ja"),$D24*$E24*Diskonteringsverktyg!$D$39*Diskonteringsverktyg!$D$40,IF(AND(Diskonteringsverktyg!$D$41="Ja",Diskonteringsverktyg!$D$42="Nej"),$E24*Diskonteringsverktyg!$D$39*Diskonteringsverktyg!$D$40,IF(AND(Diskonteringsverktyg!$D$41="Nej",Diskonteringsverktyg!$D$42="Ja"),$D24*Diskonteringsverktyg!$D$39*Diskonteringsverktyg!$D$40,Diskonteringsverktyg!$D$39*Diskonteringsverktyg!$D$40)))</f>
        <v>0</v>
      </c>
      <c r="J24" s="23">
        <f>IF(AND(Diskonteringsverktyg!$D$45="Ja",Diskonteringsverktyg!$D$46="Ja"),$D24*$E24*Diskonteringsverktyg!$D$43*Diskonteringsverktyg!$D$44,IF(AND(Diskonteringsverktyg!$D$45="Ja",Diskonteringsverktyg!$D$46="Nej"),$E24*Diskonteringsverktyg!$D$43*Diskonteringsverktyg!$D$44,IF(AND(Diskonteringsverktyg!$D$45="Nej",Diskonteringsverktyg!$D$46="Ja"),$D24*Diskonteringsverktyg!$D$43*Diskonteringsverktyg!$D$44,Diskonteringsverktyg!$D$43*Diskonteringsverktyg!$D$44)))</f>
        <v>0</v>
      </c>
      <c r="K24" s="23">
        <f t="shared" si="0"/>
        <v>8862.7956593688286</v>
      </c>
      <c r="L24" s="23">
        <f t="shared" si="1"/>
        <v>4771.3847707793993</v>
      </c>
      <c r="M24" s="23">
        <f>IF((B24&lt;=Diskonteringsverktyg!$D$16),Diskonteringsverktyg!$D$50*Diskonteringsverktyg!$D$14^(B24-Diskonteringsverktyg!$D$11),M23)</f>
        <v>2015.4520025840375</v>
      </c>
      <c r="N24" s="23">
        <f t="shared" si="2"/>
        <v>1085.0410368201094</v>
      </c>
      <c r="O24" s="30"/>
    </row>
    <row r="25" spans="1:15" x14ac:dyDescent="0.2">
      <c r="A25" s="97">
        <v>19</v>
      </c>
      <c r="B25" s="88">
        <f>Diskonteringsverktyg!$D$12+A25</f>
        <v>2047</v>
      </c>
      <c r="C25" s="22">
        <f>1/(Diskonteringsverktyg!$D$9)^(B25-Diskonteringsverktyg!$D$10)</f>
        <v>0.52015569038677911</v>
      </c>
      <c r="D25" s="21">
        <f>IF(B25&lt;=Diskonteringsverktyg!$D$15,Diskonteringsverktyg!$D$21^(B25-Diskonteringsverktyg!$D$24),IF(AND(B25&gt;Diskonteringsverktyg!$D$15,B25&lt;=Diskonteringsverktyg!$D$16),Diskonteringsverktyg!$D$21^(Diskonteringsverktyg!$D$15-Diskonteringsverktyg!$D$24)*Diskonteringsverktyg!$D$22^(B25-Diskonteringsverktyg!$D$15),D24))</f>
        <v>1.3082412595249544</v>
      </c>
      <c r="E25" s="21">
        <f>IF(B25&lt;=Diskonteringsverktyg!$D$16,(Diskonteringsverktyg!$D$13)^(B25-Diskonteringsverktyg!$D$23),E24)</f>
        <v>1.377351667041957</v>
      </c>
      <c r="F25" s="23">
        <f>IF(AND(Diskonteringsverktyg!$D$29="Ja",Diskonteringsverktyg!$D$30="Ja"),$D25*$E25*Diskonteringsverktyg!$D$27*Diskonteringsverktyg!$D$28,IF(AND(Diskonteringsverktyg!$D$29="Ja",Diskonteringsverktyg!$D$30="Nej"),$E25*Diskonteringsverktyg!$D$27*Diskonteringsverktyg!$D$28,IF(AND(Diskonteringsverktyg!$D$29="Nej",Diskonteringsverktyg!$D$30="Ja"),$D25*Diskonteringsverktyg!$D$27*Diskonteringsverktyg!$D$28,Diskonteringsverktyg!$D$27*Diskonteringsverktyg!$D$28)))</f>
        <v>9009.5413984988263</v>
      </c>
      <c r="G25" s="23">
        <f>IF(AND(Diskonteringsverktyg!$D$33="Ja",Diskonteringsverktyg!$D$34="Ja"),$D25*$E25*Diskonteringsverktyg!$D$31*Diskonteringsverktyg!$D$32,IF(AND(Diskonteringsverktyg!$D$33="Ja",Diskonteringsverktyg!$D$34="Nej"),$E25*Diskonteringsverktyg!$D$31*Diskonteringsverktyg!$D$32,IF(AND(Diskonteringsverktyg!$D$33="Nej",Diskonteringsverktyg!$D$34="Ja"),$D25*Diskonteringsverktyg!$D$31*Diskonteringsverktyg!$D$32,Diskonteringsverktyg!$D$31*Diskonteringsverktyg!$D$32)))</f>
        <v>0</v>
      </c>
      <c r="H25" s="23">
        <f>IF(AND(Diskonteringsverktyg!$D$37="Ja",Diskonteringsverktyg!$D$38="Ja"),$D25*$E25*Diskonteringsverktyg!$D$35*Diskonteringsverktyg!$D$36,IF(AND(Diskonteringsverktyg!$D$37="Ja",Diskonteringsverktyg!$D$38="Nej"),$E25*Diskonteringsverktyg!$D$35*Diskonteringsverktyg!$D$36,IF(AND(Diskonteringsverktyg!$D$37="Nej",Diskonteringsverktyg!$D$38="Ja"),$D25*Diskonteringsverktyg!$D$35*Diskonteringsverktyg!$D$36,Diskonteringsverktyg!$D$35*Diskonteringsverktyg!$D$36)))</f>
        <v>0</v>
      </c>
      <c r="I25" s="23">
        <f>IF(AND(Diskonteringsverktyg!$D$41="Ja",Diskonteringsverktyg!$D$42="Ja"),$D25*$E25*Diskonteringsverktyg!$D$39*Diskonteringsverktyg!$D$40,IF(AND(Diskonteringsverktyg!$D$41="Ja",Diskonteringsverktyg!$D$42="Nej"),$E25*Diskonteringsverktyg!$D$39*Diskonteringsverktyg!$D$40,IF(AND(Diskonteringsverktyg!$D$41="Nej",Diskonteringsverktyg!$D$42="Ja"),$D25*Diskonteringsverktyg!$D$39*Diskonteringsverktyg!$D$40,Diskonteringsverktyg!$D$39*Diskonteringsverktyg!$D$40)))</f>
        <v>0</v>
      </c>
      <c r="J25" s="23">
        <f>IF(AND(Diskonteringsverktyg!$D$45="Ja",Diskonteringsverktyg!$D$46="Ja"),$D25*$E25*Diskonteringsverktyg!$D$43*Diskonteringsverktyg!$D$44,IF(AND(Diskonteringsverktyg!$D$45="Ja",Diskonteringsverktyg!$D$46="Nej"),$E25*Diskonteringsverktyg!$D$43*Diskonteringsverktyg!$D$44,IF(AND(Diskonteringsverktyg!$D$45="Nej",Diskonteringsverktyg!$D$46="Ja"),$D25*Diskonteringsverktyg!$D$43*Diskonteringsverktyg!$D$44,Diskonteringsverktyg!$D$43*Diskonteringsverktyg!$D$44)))</f>
        <v>0</v>
      </c>
      <c r="K25" s="23">
        <f t="shared" si="0"/>
        <v>9009.5413984988263</v>
      </c>
      <c r="L25" s="23">
        <f t="shared" si="1"/>
        <v>4686.3642262044241</v>
      </c>
      <c r="M25" s="23">
        <f>IF((B25&lt;=Diskonteringsverktyg!$D$16),Diskonteringsverktyg!$D$50*Diskonteringsverktyg!$D$14^(B25-Diskonteringsverktyg!$D$11),M24)</f>
        <v>2037.6219746124621</v>
      </c>
      <c r="N25" s="23">
        <f t="shared" si="2"/>
        <v>1059.8806649518174</v>
      </c>
      <c r="O25" s="30"/>
    </row>
    <row r="26" spans="1:15" x14ac:dyDescent="0.2">
      <c r="A26" s="97">
        <v>20</v>
      </c>
      <c r="B26" s="88">
        <f>Diskonteringsverktyg!$D$12+A26</f>
        <v>2048</v>
      </c>
      <c r="C26" s="22">
        <f>1/(Diskonteringsverktyg!$D$9)^(B26-Diskonteringsverktyg!$D$10)</f>
        <v>0.50256588443167061</v>
      </c>
      <c r="D26" s="21">
        <f>IF(B26&lt;=Diskonteringsverktyg!$D$15,Diskonteringsverktyg!$D$21^(B26-Diskonteringsverktyg!$D$24),IF(AND(B26&gt;Diskonteringsverktyg!$D$15,B26&lt;=Diskonteringsverktyg!$D$16),Diskonteringsverktyg!$D$21^(Diskonteringsverktyg!$D$15-Diskonteringsverktyg!$D$24)*Diskonteringsverktyg!$D$22^(B26-Diskonteringsverktyg!$D$15),D25))</f>
        <v>1.3147824658225791</v>
      </c>
      <c r="E26" s="21">
        <f>IF(B26&lt;=Diskonteringsverktyg!$D$16,(Diskonteringsverktyg!$D$13)^(B26-Diskonteringsverktyg!$D$23),E25)</f>
        <v>1.3931912112129397</v>
      </c>
      <c r="F26" s="23">
        <f>IF(AND(Diskonteringsverktyg!$D$29="Ja",Diskonteringsverktyg!$D$30="Ja"),$D26*$E26*Diskonteringsverktyg!$D$27*Diskonteringsverktyg!$D$28,IF(AND(Diskonteringsverktyg!$D$29="Ja",Diskonteringsverktyg!$D$30="Nej"),$E26*Diskonteringsverktyg!$D$27*Diskonteringsverktyg!$D$28,IF(AND(Diskonteringsverktyg!$D$29="Nej",Diskonteringsverktyg!$D$30="Ja"),$D26*Diskonteringsverktyg!$D$27*Diskonteringsverktyg!$D$28,Diskonteringsverktyg!$D$27*Diskonteringsverktyg!$D$28)))</f>
        <v>9158.7168802044707</v>
      </c>
      <c r="G26" s="23">
        <f>IF(AND(Diskonteringsverktyg!$D$33="Ja",Diskonteringsverktyg!$D$34="Ja"),$D26*$E26*Diskonteringsverktyg!$D$31*Diskonteringsverktyg!$D$32,IF(AND(Diskonteringsverktyg!$D$33="Ja",Diskonteringsverktyg!$D$34="Nej"),$E26*Diskonteringsverktyg!$D$31*Diskonteringsverktyg!$D$32,IF(AND(Diskonteringsverktyg!$D$33="Nej",Diskonteringsverktyg!$D$34="Ja"),$D26*Diskonteringsverktyg!$D$31*Diskonteringsverktyg!$D$32,Diskonteringsverktyg!$D$31*Diskonteringsverktyg!$D$32)))</f>
        <v>0</v>
      </c>
      <c r="H26" s="23">
        <f>IF(AND(Diskonteringsverktyg!$D$37="Ja",Diskonteringsverktyg!$D$38="Ja"),$D26*$E26*Diskonteringsverktyg!$D$35*Diskonteringsverktyg!$D$36,IF(AND(Diskonteringsverktyg!$D$37="Ja",Diskonteringsverktyg!$D$38="Nej"),$E26*Diskonteringsverktyg!$D$35*Diskonteringsverktyg!$D$36,IF(AND(Diskonteringsverktyg!$D$37="Nej",Diskonteringsverktyg!$D$38="Ja"),$D26*Diskonteringsverktyg!$D$35*Diskonteringsverktyg!$D$36,Diskonteringsverktyg!$D$35*Diskonteringsverktyg!$D$36)))</f>
        <v>0</v>
      </c>
      <c r="I26" s="23">
        <f>IF(AND(Diskonteringsverktyg!$D$41="Ja",Diskonteringsverktyg!$D$42="Ja"),$D26*$E26*Diskonteringsverktyg!$D$39*Diskonteringsverktyg!$D$40,IF(AND(Diskonteringsverktyg!$D$41="Ja",Diskonteringsverktyg!$D$42="Nej"),$E26*Diskonteringsverktyg!$D$39*Diskonteringsverktyg!$D$40,IF(AND(Diskonteringsverktyg!$D$41="Nej",Diskonteringsverktyg!$D$42="Ja"),$D26*Diskonteringsverktyg!$D$39*Diskonteringsverktyg!$D$40,Diskonteringsverktyg!$D$39*Diskonteringsverktyg!$D$40)))</f>
        <v>0</v>
      </c>
      <c r="J26" s="23">
        <f>IF(AND(Diskonteringsverktyg!$D$45="Ja",Diskonteringsverktyg!$D$46="Ja"),$D26*$E26*Diskonteringsverktyg!$D$43*Diskonteringsverktyg!$D$44,IF(AND(Diskonteringsverktyg!$D$45="Ja",Diskonteringsverktyg!$D$46="Nej"),$E26*Diskonteringsverktyg!$D$43*Diskonteringsverktyg!$D$44,IF(AND(Diskonteringsverktyg!$D$45="Nej",Diskonteringsverktyg!$D$46="Ja"),$D26*Diskonteringsverktyg!$D$43*Diskonteringsverktyg!$D$44,Diskonteringsverktyg!$D$43*Diskonteringsverktyg!$D$44)))</f>
        <v>0</v>
      </c>
      <c r="K26" s="23">
        <f t="shared" si="0"/>
        <v>9158.7168802044707</v>
      </c>
      <c r="L26" s="23">
        <f t="shared" si="1"/>
        <v>4602.8586491592305</v>
      </c>
      <c r="M26" s="23">
        <f>IF((B26&lt;=Diskonteringsverktyg!$D$16),Diskonteringsverktyg!$D$50*Diskonteringsverktyg!$D$14^(B26-Diskonteringsverktyg!$D$11),M25)</f>
        <v>2060.0358163331985</v>
      </c>
      <c r="N26" s="23">
        <f t="shared" si="2"/>
        <v>1035.3037219964124</v>
      </c>
      <c r="O26" s="30"/>
    </row>
    <row r="27" spans="1:15" x14ac:dyDescent="0.2">
      <c r="A27" s="97">
        <v>21</v>
      </c>
      <c r="B27" s="88">
        <f>Diskonteringsverktyg!$D$12+A27</f>
        <v>2049</v>
      </c>
      <c r="C27" s="22">
        <f>1/(Diskonteringsverktyg!$D$9)^(B27-Diskonteringsverktyg!$D$10)</f>
        <v>0.48557090283253213</v>
      </c>
      <c r="D27" s="21">
        <f>IF(B27&lt;=Diskonteringsverktyg!$D$15,Diskonteringsverktyg!$D$21^(B27-Diskonteringsverktyg!$D$24),IF(AND(B27&gt;Diskonteringsverktyg!$D$15,B27&lt;=Diskonteringsverktyg!$D$16),Diskonteringsverktyg!$D$21^(Diskonteringsverktyg!$D$15-Diskonteringsverktyg!$D$24)*Diskonteringsverktyg!$D$22^(B27-Diskonteringsverktyg!$D$15),D26))</f>
        <v>1.3213563781516917</v>
      </c>
      <c r="E27" s="21">
        <f>IF(B27&lt;=Diskonteringsverktyg!$D$16,(Diskonteringsverktyg!$D$13)^(B27-Diskonteringsverktyg!$D$23),E26)</f>
        <v>1.4092129101418884</v>
      </c>
      <c r="F27" s="23">
        <f>IF(AND(Diskonteringsverktyg!$D$29="Ja",Diskonteringsverktyg!$D$30="Ja"),$D27*$E27*Diskonteringsverktyg!$D$27*Diskonteringsverktyg!$D$28,IF(AND(Diskonteringsverktyg!$D$29="Ja",Diskonteringsverktyg!$D$30="Nej"),$E27*Diskonteringsverktyg!$D$27*Diskonteringsverktyg!$D$28,IF(AND(Diskonteringsverktyg!$D$29="Nej",Diskonteringsverktyg!$D$30="Ja"),$D27*Diskonteringsverktyg!$D$27*Diskonteringsverktyg!$D$28,Diskonteringsverktyg!$D$27*Diskonteringsverktyg!$D$28)))</f>
        <v>9310.3623349484551</v>
      </c>
      <c r="G27" s="23">
        <f>IF(AND(Diskonteringsverktyg!$D$33="Ja",Diskonteringsverktyg!$D$34="Ja"),$D27*$E27*Diskonteringsverktyg!$D$31*Diskonteringsverktyg!$D$32,IF(AND(Diskonteringsverktyg!$D$33="Ja",Diskonteringsverktyg!$D$34="Nej"),$E27*Diskonteringsverktyg!$D$31*Diskonteringsverktyg!$D$32,IF(AND(Diskonteringsverktyg!$D$33="Nej",Diskonteringsverktyg!$D$34="Ja"),$D27*Diskonteringsverktyg!$D$31*Diskonteringsverktyg!$D$32,Diskonteringsverktyg!$D$31*Diskonteringsverktyg!$D$32)))</f>
        <v>0</v>
      </c>
      <c r="H27" s="23">
        <f>IF(AND(Diskonteringsverktyg!$D$37="Ja",Diskonteringsverktyg!$D$38="Ja"),$D27*$E27*Diskonteringsverktyg!$D$35*Diskonteringsverktyg!$D$36,IF(AND(Diskonteringsverktyg!$D$37="Ja",Diskonteringsverktyg!$D$38="Nej"),$E27*Diskonteringsverktyg!$D$35*Diskonteringsverktyg!$D$36,IF(AND(Diskonteringsverktyg!$D$37="Nej",Diskonteringsverktyg!$D$38="Ja"),$D27*Diskonteringsverktyg!$D$35*Diskonteringsverktyg!$D$36,Diskonteringsverktyg!$D$35*Diskonteringsverktyg!$D$36)))</f>
        <v>0</v>
      </c>
      <c r="I27" s="23">
        <f>IF(AND(Diskonteringsverktyg!$D$41="Ja",Diskonteringsverktyg!$D$42="Ja"),$D27*$E27*Diskonteringsverktyg!$D$39*Diskonteringsverktyg!$D$40,IF(AND(Diskonteringsverktyg!$D$41="Ja",Diskonteringsverktyg!$D$42="Nej"),$E27*Diskonteringsverktyg!$D$39*Diskonteringsverktyg!$D$40,IF(AND(Diskonteringsverktyg!$D$41="Nej",Diskonteringsverktyg!$D$42="Ja"),$D27*Diskonteringsverktyg!$D$39*Diskonteringsverktyg!$D$40,Diskonteringsverktyg!$D$39*Diskonteringsverktyg!$D$40)))</f>
        <v>0</v>
      </c>
      <c r="J27" s="23">
        <f>IF(AND(Diskonteringsverktyg!$D$45="Ja",Diskonteringsverktyg!$D$46="Ja"),$D27*$E27*Diskonteringsverktyg!$D$43*Diskonteringsverktyg!$D$44,IF(AND(Diskonteringsverktyg!$D$45="Ja",Diskonteringsverktyg!$D$46="Nej"),$E27*Diskonteringsverktyg!$D$43*Diskonteringsverktyg!$D$44,IF(AND(Diskonteringsverktyg!$D$45="Nej",Diskonteringsverktyg!$D$46="Ja"),$D27*Diskonteringsverktyg!$D$43*Diskonteringsverktyg!$D$44,Diskonteringsverktyg!$D$43*Diskonteringsverktyg!$D$44)))</f>
        <v>0</v>
      </c>
      <c r="K27" s="23">
        <f t="shared" si="0"/>
        <v>9310.3623349484551</v>
      </c>
      <c r="L27" s="23">
        <f t="shared" si="1"/>
        <v>4520.841044678923</v>
      </c>
      <c r="M27" s="23">
        <f>IF((B27&lt;=Diskonteringsverktyg!$D$16),Diskonteringsverktyg!$D$50*Diskonteringsverktyg!$D$14^(B27-Diskonteringsverktyg!$D$11),M26)</f>
        <v>2082.6962103128635</v>
      </c>
      <c r="N27" s="23">
        <f t="shared" si="2"/>
        <v>1011.2966791675103</v>
      </c>
      <c r="O27" s="30"/>
    </row>
    <row r="28" spans="1:15" x14ac:dyDescent="0.2">
      <c r="A28" s="97">
        <v>22</v>
      </c>
      <c r="B28" s="88">
        <f>Diskonteringsverktyg!$D$12+A28</f>
        <v>2050</v>
      </c>
      <c r="C28" s="22">
        <f>1/(Diskonteringsverktyg!$D$9)^(B28-Diskonteringsverktyg!$D$10)</f>
        <v>0.46915063075606966</v>
      </c>
      <c r="D28" s="21">
        <f>IF(B28&lt;=Diskonteringsverktyg!$D$15,Diskonteringsverktyg!$D$21^(B28-Diskonteringsverktyg!$D$24),IF(AND(B28&gt;Diskonteringsverktyg!$D$15,B28&lt;=Diskonteringsverktyg!$D$16),Diskonteringsverktyg!$D$21^(Diskonteringsverktyg!$D$15-Diskonteringsverktyg!$D$24)*Diskonteringsverktyg!$D$22^(B28-Diskonteringsverktyg!$D$15),D27))</f>
        <v>1.3279631600424497</v>
      </c>
      <c r="E28" s="21">
        <f>IF(B28&lt;=Diskonteringsverktyg!$D$16,(Diskonteringsverktyg!$D$13)^(B28-Diskonteringsverktyg!$D$23),E27)</f>
        <v>1.4254188586085206</v>
      </c>
      <c r="F28" s="23">
        <f>IF(AND(Diskonteringsverktyg!$D$29="Ja",Diskonteringsverktyg!$D$30="Ja"),$D28*$E28*Diskonteringsverktyg!$D$27*Diskonteringsverktyg!$D$28,IF(AND(Diskonteringsverktyg!$D$29="Ja",Diskonteringsverktyg!$D$30="Nej"),$E28*Diskonteringsverktyg!$D$27*Diskonteringsverktyg!$D$28,IF(AND(Diskonteringsverktyg!$D$29="Nej",Diskonteringsverktyg!$D$30="Ja"),$D28*Diskonteringsverktyg!$D$27*Diskonteringsverktyg!$D$28,Diskonteringsverktyg!$D$27*Diskonteringsverktyg!$D$28)))</f>
        <v>9464.518659309364</v>
      </c>
      <c r="G28" s="23">
        <f>IF(AND(Diskonteringsverktyg!$D$33="Ja",Diskonteringsverktyg!$D$34="Ja"),$D28*$E28*Diskonteringsverktyg!$D$31*Diskonteringsverktyg!$D$32,IF(AND(Diskonteringsverktyg!$D$33="Ja",Diskonteringsverktyg!$D$34="Nej"),$E28*Diskonteringsverktyg!$D$31*Diskonteringsverktyg!$D$32,IF(AND(Diskonteringsverktyg!$D$33="Nej",Diskonteringsverktyg!$D$34="Ja"),$D28*Diskonteringsverktyg!$D$31*Diskonteringsverktyg!$D$32,Diskonteringsverktyg!$D$31*Diskonteringsverktyg!$D$32)))</f>
        <v>0</v>
      </c>
      <c r="H28" s="23">
        <f>IF(AND(Diskonteringsverktyg!$D$37="Ja",Diskonteringsverktyg!$D$38="Ja"),$D28*$E28*Diskonteringsverktyg!$D$35*Diskonteringsverktyg!$D$36,IF(AND(Diskonteringsverktyg!$D$37="Ja",Diskonteringsverktyg!$D$38="Nej"),$E28*Diskonteringsverktyg!$D$35*Diskonteringsverktyg!$D$36,IF(AND(Diskonteringsverktyg!$D$37="Nej",Diskonteringsverktyg!$D$38="Ja"),$D28*Diskonteringsverktyg!$D$35*Diskonteringsverktyg!$D$36,Diskonteringsverktyg!$D$35*Diskonteringsverktyg!$D$36)))</f>
        <v>0</v>
      </c>
      <c r="I28" s="23">
        <f>IF(AND(Diskonteringsverktyg!$D$41="Ja",Diskonteringsverktyg!$D$42="Ja"),$D28*$E28*Diskonteringsverktyg!$D$39*Diskonteringsverktyg!$D$40,IF(AND(Diskonteringsverktyg!$D$41="Ja",Diskonteringsverktyg!$D$42="Nej"),$E28*Diskonteringsverktyg!$D$39*Diskonteringsverktyg!$D$40,IF(AND(Diskonteringsverktyg!$D$41="Nej",Diskonteringsverktyg!$D$42="Ja"),$D28*Diskonteringsverktyg!$D$39*Diskonteringsverktyg!$D$40,Diskonteringsverktyg!$D$39*Diskonteringsverktyg!$D$40)))</f>
        <v>0</v>
      </c>
      <c r="J28" s="23">
        <f>IF(AND(Diskonteringsverktyg!$D$45="Ja",Diskonteringsverktyg!$D$46="Ja"),$D28*$E28*Diskonteringsverktyg!$D$43*Diskonteringsverktyg!$D$44,IF(AND(Diskonteringsverktyg!$D$45="Ja",Diskonteringsverktyg!$D$46="Nej"),$E28*Diskonteringsverktyg!$D$43*Diskonteringsverktyg!$D$44,IF(AND(Diskonteringsverktyg!$D$45="Nej",Diskonteringsverktyg!$D$46="Ja"),$D28*Diskonteringsverktyg!$D$43*Diskonteringsverktyg!$D$44,Diskonteringsverktyg!$D$43*Diskonteringsverktyg!$D$44)))</f>
        <v>0</v>
      </c>
      <c r="K28" s="23">
        <f t="shared" si="0"/>
        <v>9464.518659309364</v>
      </c>
      <c r="L28" s="23">
        <f t="shared" si="1"/>
        <v>4440.2848988175792</v>
      </c>
      <c r="M28" s="23">
        <f>IF((B28&lt;=Diskonteringsverktyg!$D$16),Diskonteringsverktyg!$D$50*Diskonteringsverktyg!$D$14^(B28-Diskonteringsverktyg!$D$11),M27)</f>
        <v>2105.605868626305</v>
      </c>
      <c r="N28" s="23">
        <f t="shared" si="2"/>
        <v>987.8463213897129</v>
      </c>
      <c r="O28" s="30"/>
    </row>
    <row r="29" spans="1:15" x14ac:dyDescent="0.2">
      <c r="A29" s="97">
        <v>23</v>
      </c>
      <c r="B29" s="88">
        <f>Diskonteringsverktyg!$D$12+A29</f>
        <v>2051</v>
      </c>
      <c r="C29" s="22">
        <f>1/(Diskonteringsverktyg!$D$9)^(B29-Diskonteringsverktyg!$D$10)</f>
        <v>0.45328563358074364</v>
      </c>
      <c r="D29" s="21">
        <f>IF(B29&lt;=Diskonteringsverktyg!$D$15,Diskonteringsverktyg!$D$21^(B29-Diskonteringsverktyg!$D$24),IF(AND(B29&gt;Diskonteringsverktyg!$D$15,B29&lt;=Diskonteringsverktyg!$D$16),Diskonteringsverktyg!$D$21^(Diskonteringsverktyg!$D$15-Diskonteringsverktyg!$D$24)*Diskonteringsverktyg!$D$22^(B29-Diskonteringsverktyg!$D$15),D28))</f>
        <v>1.3346029758426619</v>
      </c>
      <c r="E29" s="21">
        <f>IF(B29&lt;=Diskonteringsverktyg!$D$16,(Diskonteringsverktyg!$D$13)^(B29-Diskonteringsverktyg!$D$23),E28)</f>
        <v>1.4418111754825187</v>
      </c>
      <c r="F29" s="23">
        <f>IF(AND(Diskonteringsverktyg!$D$29="Ja",Diskonteringsverktyg!$D$30="Ja"),$D29*$E29*Diskonteringsverktyg!$D$27*Diskonteringsverktyg!$D$28,IF(AND(Diskonteringsverktyg!$D$29="Ja",Diskonteringsverktyg!$D$30="Nej"),$E29*Diskonteringsverktyg!$D$27*Diskonteringsverktyg!$D$28,IF(AND(Diskonteringsverktyg!$D$29="Nej",Diskonteringsverktyg!$D$30="Ja"),$D29*Diskonteringsverktyg!$D$27*Diskonteringsverktyg!$D$28,Diskonteringsverktyg!$D$27*Diskonteringsverktyg!$D$28)))</f>
        <v>9621.2274270108792</v>
      </c>
      <c r="G29" s="23">
        <f>IF(AND(Diskonteringsverktyg!$D$33="Ja",Diskonteringsverktyg!$D$34="Ja"),$D29*$E29*Diskonteringsverktyg!$D$31*Diskonteringsverktyg!$D$32,IF(AND(Diskonteringsverktyg!$D$33="Ja",Diskonteringsverktyg!$D$34="Nej"),$E29*Diskonteringsverktyg!$D$31*Diskonteringsverktyg!$D$32,IF(AND(Diskonteringsverktyg!$D$33="Nej",Diskonteringsverktyg!$D$34="Ja"),$D29*Diskonteringsverktyg!$D$31*Diskonteringsverktyg!$D$32,Diskonteringsverktyg!$D$31*Diskonteringsverktyg!$D$32)))</f>
        <v>0</v>
      </c>
      <c r="H29" s="23">
        <f>IF(AND(Diskonteringsverktyg!$D$37="Ja",Diskonteringsverktyg!$D$38="Ja"),$D29*$E29*Diskonteringsverktyg!$D$35*Diskonteringsverktyg!$D$36,IF(AND(Diskonteringsverktyg!$D$37="Ja",Diskonteringsverktyg!$D$38="Nej"),$E29*Diskonteringsverktyg!$D$35*Diskonteringsverktyg!$D$36,IF(AND(Diskonteringsverktyg!$D$37="Nej",Diskonteringsverktyg!$D$38="Ja"),$D29*Diskonteringsverktyg!$D$35*Diskonteringsverktyg!$D$36,Diskonteringsverktyg!$D$35*Diskonteringsverktyg!$D$36)))</f>
        <v>0</v>
      </c>
      <c r="I29" s="23">
        <f>IF(AND(Diskonteringsverktyg!$D$41="Ja",Diskonteringsverktyg!$D$42="Ja"),$D29*$E29*Diskonteringsverktyg!$D$39*Diskonteringsverktyg!$D$40,IF(AND(Diskonteringsverktyg!$D$41="Ja",Diskonteringsverktyg!$D$42="Nej"),$E29*Diskonteringsverktyg!$D$39*Diskonteringsverktyg!$D$40,IF(AND(Diskonteringsverktyg!$D$41="Nej",Diskonteringsverktyg!$D$42="Ja"),$D29*Diskonteringsverktyg!$D$39*Diskonteringsverktyg!$D$40,Diskonteringsverktyg!$D$39*Diskonteringsverktyg!$D$40)))</f>
        <v>0</v>
      </c>
      <c r="J29" s="23">
        <f>IF(AND(Diskonteringsverktyg!$D$45="Ja",Diskonteringsverktyg!$D$46="Ja"),$D29*$E29*Diskonteringsverktyg!$D$43*Diskonteringsverktyg!$D$44,IF(AND(Diskonteringsverktyg!$D$45="Ja",Diskonteringsverktyg!$D$46="Nej"),$E29*Diskonteringsverktyg!$D$43*Diskonteringsverktyg!$D$44,IF(AND(Diskonteringsverktyg!$D$45="Nej",Diskonteringsverktyg!$D$46="Ja"),$D29*Diskonteringsverktyg!$D$43*Diskonteringsverktyg!$D$44,Diskonteringsverktyg!$D$43*Diskonteringsverktyg!$D$44)))</f>
        <v>0</v>
      </c>
      <c r="K29" s="23">
        <f t="shared" si="0"/>
        <v>9621.2274270108792</v>
      </c>
      <c r="L29" s="23">
        <f t="shared" si="1"/>
        <v>4361.1641700770542</v>
      </c>
      <c r="M29" s="23">
        <f>IF((B29&lt;=Diskonteringsverktyg!$D$16),Diskonteringsverktyg!$D$50*Diskonteringsverktyg!$D$14^(B29-Diskonteringsverktyg!$D$11),M28)</f>
        <v>2128.7675331811943</v>
      </c>
      <c r="N29" s="23">
        <f t="shared" si="2"/>
        <v>964.93974002415439</v>
      </c>
      <c r="O29" s="30"/>
    </row>
    <row r="30" spans="1:15" x14ac:dyDescent="0.2">
      <c r="A30" s="97">
        <v>24</v>
      </c>
      <c r="B30" s="88">
        <f>Diskonteringsverktyg!$D$12+A30</f>
        <v>2052</v>
      </c>
      <c r="C30" s="22">
        <f>1/(Diskonteringsverktyg!$D$9)^(B30-Diskonteringsverktyg!$D$10)</f>
        <v>0.43795713389443841</v>
      </c>
      <c r="D30" s="21">
        <f>IF(B30&lt;=Diskonteringsverktyg!$D$15,Diskonteringsverktyg!$D$21^(B30-Diskonteringsverktyg!$D$24),IF(AND(B30&gt;Diskonteringsverktyg!$D$15,B30&lt;=Diskonteringsverktyg!$D$16),Diskonteringsverktyg!$D$21^(Diskonteringsverktyg!$D$15-Diskonteringsverktyg!$D$24)*Diskonteringsverktyg!$D$22^(B30-Diskonteringsverktyg!$D$15),D29))</f>
        <v>1.341275990721875</v>
      </c>
      <c r="E30" s="21">
        <f>IF(B30&lt;=Diskonteringsverktyg!$D$16,(Diskonteringsverktyg!$D$13)^(B30-Diskonteringsverktyg!$D$23),E29)</f>
        <v>1.4583920040005678</v>
      </c>
      <c r="F30" s="23">
        <f>IF(AND(Diskonteringsverktyg!$D$29="Ja",Diskonteringsverktyg!$D$30="Ja"),$D30*$E30*Diskonteringsverktyg!$D$27*Diskonteringsverktyg!$D$28,IF(AND(Diskonteringsverktyg!$D$29="Ja",Diskonteringsverktyg!$D$30="Nej"),$E30*Diskonteringsverktyg!$D$27*Diskonteringsverktyg!$D$28,IF(AND(Diskonteringsverktyg!$D$29="Nej",Diskonteringsverktyg!$D$30="Ja"),$D30*Diskonteringsverktyg!$D$27*Diskonteringsverktyg!$D$28,Diskonteringsverktyg!$D$27*Diskonteringsverktyg!$D$28)))</f>
        <v>9780.5309001336118</v>
      </c>
      <c r="G30" s="23">
        <f>IF(AND(Diskonteringsverktyg!$D$33="Ja",Diskonteringsverktyg!$D$34="Ja"),$D30*$E30*Diskonteringsverktyg!$D$31*Diskonteringsverktyg!$D$32,IF(AND(Diskonteringsverktyg!$D$33="Ja",Diskonteringsverktyg!$D$34="Nej"),$E30*Diskonteringsverktyg!$D$31*Diskonteringsverktyg!$D$32,IF(AND(Diskonteringsverktyg!$D$33="Nej",Diskonteringsverktyg!$D$34="Ja"),$D30*Diskonteringsverktyg!$D$31*Diskonteringsverktyg!$D$32,Diskonteringsverktyg!$D$31*Diskonteringsverktyg!$D$32)))</f>
        <v>0</v>
      </c>
      <c r="H30" s="23">
        <f>IF(AND(Diskonteringsverktyg!$D$37="Ja",Diskonteringsverktyg!$D$38="Ja"),$D30*$E30*Diskonteringsverktyg!$D$35*Diskonteringsverktyg!$D$36,IF(AND(Diskonteringsverktyg!$D$37="Ja",Diskonteringsverktyg!$D$38="Nej"),$E30*Diskonteringsverktyg!$D$35*Diskonteringsverktyg!$D$36,IF(AND(Diskonteringsverktyg!$D$37="Nej",Diskonteringsverktyg!$D$38="Ja"),$D30*Diskonteringsverktyg!$D$35*Diskonteringsverktyg!$D$36,Diskonteringsverktyg!$D$35*Diskonteringsverktyg!$D$36)))</f>
        <v>0</v>
      </c>
      <c r="I30" s="23">
        <f>IF(AND(Diskonteringsverktyg!$D$41="Ja",Diskonteringsverktyg!$D$42="Ja"),$D30*$E30*Diskonteringsverktyg!$D$39*Diskonteringsverktyg!$D$40,IF(AND(Diskonteringsverktyg!$D$41="Ja",Diskonteringsverktyg!$D$42="Nej"),$E30*Diskonteringsverktyg!$D$39*Diskonteringsverktyg!$D$40,IF(AND(Diskonteringsverktyg!$D$41="Nej",Diskonteringsverktyg!$D$42="Ja"),$D30*Diskonteringsverktyg!$D$39*Diskonteringsverktyg!$D$40,Diskonteringsverktyg!$D$39*Diskonteringsverktyg!$D$40)))</f>
        <v>0</v>
      </c>
      <c r="J30" s="23">
        <f>IF(AND(Diskonteringsverktyg!$D$45="Ja",Diskonteringsverktyg!$D$46="Ja"),$D30*$E30*Diskonteringsverktyg!$D$43*Diskonteringsverktyg!$D$44,IF(AND(Diskonteringsverktyg!$D$45="Ja",Diskonteringsverktyg!$D$46="Nej"),$E30*Diskonteringsverktyg!$D$43*Diskonteringsverktyg!$D$44,IF(AND(Diskonteringsverktyg!$D$45="Nej",Diskonteringsverktyg!$D$46="Ja"),$D30*Diskonteringsverktyg!$D$43*Diskonteringsverktyg!$D$44,Diskonteringsverktyg!$D$43*Diskonteringsverktyg!$D$44)))</f>
        <v>0</v>
      </c>
      <c r="K30" s="23">
        <f t="shared" si="0"/>
        <v>9780.5309001336118</v>
      </c>
      <c r="L30" s="23">
        <f t="shared" si="1"/>
        <v>4283.4532809885086</v>
      </c>
      <c r="M30" s="23">
        <f>IF((B30&lt;=Diskonteringsverktyg!$D$16),Diskonteringsverktyg!$D$50*Diskonteringsverktyg!$D$14^(B30-Diskonteringsverktyg!$D$11),M29)</f>
        <v>2152.1839760461871</v>
      </c>
      <c r="N30" s="23">
        <f t="shared" si="2"/>
        <v>942.56432576272482</v>
      </c>
      <c r="O30" s="30"/>
    </row>
    <row r="31" spans="1:15" x14ac:dyDescent="0.2">
      <c r="A31" s="97">
        <v>25</v>
      </c>
      <c r="B31" s="88">
        <f>Diskonteringsverktyg!$D$12+A31</f>
        <v>2053</v>
      </c>
      <c r="C31" s="22">
        <f>1/(Diskonteringsverktyg!$D$9)^(B31-Diskonteringsverktyg!$D$10)</f>
        <v>0.42314698926998884</v>
      </c>
      <c r="D31" s="21">
        <f>IF(B31&lt;=Diskonteringsverktyg!$D$15,Diskonteringsverktyg!$D$21^(B31-Diskonteringsverktyg!$D$24),IF(AND(B31&gt;Diskonteringsverktyg!$D$15,B31&lt;=Diskonteringsverktyg!$D$16),Diskonteringsverktyg!$D$21^(Diskonteringsverktyg!$D$15-Diskonteringsverktyg!$D$24)*Diskonteringsverktyg!$D$22^(B31-Diskonteringsverktyg!$D$15),D30))</f>
        <v>1.3479823706754843</v>
      </c>
      <c r="E31" s="21">
        <f>IF(B31&lt;=Diskonteringsverktyg!$D$16,(Diskonteringsverktyg!$D$13)^(B31-Diskonteringsverktyg!$D$23),E30)</f>
        <v>1.4751635120465745</v>
      </c>
      <c r="F31" s="23">
        <f>IF(AND(Diskonteringsverktyg!$D$29="Ja",Diskonteringsverktyg!$D$30="Ja"),$D31*$E31*Diskonteringsverktyg!$D$27*Diskonteringsverktyg!$D$28,IF(AND(Diskonteringsverktyg!$D$29="Ja",Diskonteringsverktyg!$D$30="Nej"),$E31*Diskonteringsverktyg!$D$27*Diskonteringsverktyg!$D$28,IF(AND(Diskonteringsverktyg!$D$29="Nej",Diskonteringsverktyg!$D$30="Ja"),$D31*Diskonteringsverktyg!$D$27*Diskonteringsverktyg!$D$28,Diskonteringsverktyg!$D$27*Diskonteringsverktyg!$D$28)))</f>
        <v>9942.4720405125736</v>
      </c>
      <c r="G31" s="23">
        <f>IF(AND(Diskonteringsverktyg!$D$33="Ja",Diskonteringsverktyg!$D$34="Ja"),$D31*$E31*Diskonteringsverktyg!$D$31*Diskonteringsverktyg!$D$32,IF(AND(Diskonteringsverktyg!$D$33="Ja",Diskonteringsverktyg!$D$34="Nej"),$E31*Diskonteringsverktyg!$D$31*Diskonteringsverktyg!$D$32,IF(AND(Diskonteringsverktyg!$D$33="Nej",Diskonteringsverktyg!$D$34="Ja"),$D31*Diskonteringsverktyg!$D$31*Diskonteringsverktyg!$D$32,Diskonteringsverktyg!$D$31*Diskonteringsverktyg!$D$32)))</f>
        <v>0</v>
      </c>
      <c r="H31" s="23">
        <f>IF(AND(Diskonteringsverktyg!$D$37="Ja",Diskonteringsverktyg!$D$38="Ja"),$D31*$E31*Diskonteringsverktyg!$D$35*Diskonteringsverktyg!$D$36,IF(AND(Diskonteringsverktyg!$D$37="Ja",Diskonteringsverktyg!$D$38="Nej"),$E31*Diskonteringsverktyg!$D$35*Diskonteringsverktyg!$D$36,IF(AND(Diskonteringsverktyg!$D$37="Nej",Diskonteringsverktyg!$D$38="Ja"),$D31*Diskonteringsverktyg!$D$35*Diskonteringsverktyg!$D$36,Diskonteringsverktyg!$D$35*Diskonteringsverktyg!$D$36)))</f>
        <v>0</v>
      </c>
      <c r="I31" s="23">
        <f>IF(AND(Diskonteringsverktyg!$D$41="Ja",Diskonteringsverktyg!$D$42="Ja"),$D31*$E31*Diskonteringsverktyg!$D$39*Diskonteringsverktyg!$D$40,IF(AND(Diskonteringsverktyg!$D$41="Ja",Diskonteringsverktyg!$D$42="Nej"),$E31*Diskonteringsverktyg!$D$39*Diskonteringsverktyg!$D$40,IF(AND(Diskonteringsverktyg!$D$41="Nej",Diskonteringsverktyg!$D$42="Ja"),$D31*Diskonteringsverktyg!$D$39*Diskonteringsverktyg!$D$40,Diskonteringsverktyg!$D$39*Diskonteringsverktyg!$D$40)))</f>
        <v>0</v>
      </c>
      <c r="J31" s="23">
        <f>IF(AND(Diskonteringsverktyg!$D$45="Ja",Diskonteringsverktyg!$D$46="Ja"),$D31*$E31*Diskonteringsverktyg!$D$43*Diskonteringsverktyg!$D$44,IF(AND(Diskonteringsverktyg!$D$45="Ja",Diskonteringsverktyg!$D$46="Nej"),$E31*Diskonteringsverktyg!$D$43*Diskonteringsverktyg!$D$44,IF(AND(Diskonteringsverktyg!$D$45="Nej",Diskonteringsverktyg!$D$46="Ja"),$D31*Diskonteringsverktyg!$D$43*Diskonteringsverktyg!$D$44,Diskonteringsverktyg!$D$43*Diskonteringsverktyg!$D$44)))</f>
        <v>0</v>
      </c>
      <c r="K31" s="23">
        <f t="shared" si="0"/>
        <v>9942.4720405125736</v>
      </c>
      <c r="L31" s="23">
        <f t="shared" si="1"/>
        <v>4207.1271098439383</v>
      </c>
      <c r="M31" s="23">
        <f>IF((B31&lt;=Diskonteringsverktyg!$D$16),Diskonteringsverktyg!$D$50*Diskonteringsverktyg!$D$14^(B31-Diskonteringsverktyg!$D$11),M30)</f>
        <v>2175.8579997826951</v>
      </c>
      <c r="N31" s="23">
        <f t="shared" si="2"/>
        <v>920.70776168706743</v>
      </c>
      <c r="O31" s="30"/>
    </row>
    <row r="32" spans="1:15" x14ac:dyDescent="0.2">
      <c r="A32" s="97">
        <v>26</v>
      </c>
      <c r="B32" s="88">
        <f>Diskonteringsverktyg!$D$12+A32</f>
        <v>2054</v>
      </c>
      <c r="C32" s="22">
        <f>1/(Diskonteringsverktyg!$D$9)^(B32-Diskonteringsverktyg!$D$10)</f>
        <v>0.40883767079225974</v>
      </c>
      <c r="D32" s="21">
        <f>IF(B32&lt;=Diskonteringsverktyg!$D$15,Diskonteringsverktyg!$D$21^(B32-Diskonteringsverktyg!$D$24),IF(AND(B32&gt;Diskonteringsverktyg!$D$15,B32&lt;=Diskonteringsverktyg!$D$16),Diskonteringsverktyg!$D$21^(Diskonteringsverktyg!$D$15-Diskonteringsverktyg!$D$24)*Diskonteringsverktyg!$D$22^(B32-Diskonteringsverktyg!$D$15),D31))</f>
        <v>1.3547222825288616</v>
      </c>
      <c r="E32" s="21">
        <f>IF(B32&lt;=Diskonteringsverktyg!$D$16,(Diskonteringsverktyg!$D$13)^(B32-Diskonteringsverktyg!$D$23),E31)</f>
        <v>1.4921278924351102</v>
      </c>
      <c r="F32" s="23">
        <f>IF(AND(Diskonteringsverktyg!$D$29="Ja",Diskonteringsverktyg!$D$30="Ja"),$D32*$E32*Diskonteringsverktyg!$D$27*Diskonteringsverktyg!$D$28,IF(AND(Diskonteringsverktyg!$D$29="Ja",Diskonteringsverktyg!$D$30="Nej"),$E32*Diskonteringsverktyg!$D$27*Diskonteringsverktyg!$D$28,IF(AND(Diskonteringsverktyg!$D$29="Nej",Diskonteringsverktyg!$D$30="Ja"),$D32*Diskonteringsverktyg!$D$27*Diskonteringsverktyg!$D$28,Diskonteringsverktyg!$D$27*Diskonteringsverktyg!$D$28)))</f>
        <v>10107.094521323361</v>
      </c>
      <c r="G32" s="23">
        <f>IF(AND(Diskonteringsverktyg!$D$33="Ja",Diskonteringsverktyg!$D$34="Ja"),$D32*$E32*Diskonteringsverktyg!$D$31*Diskonteringsverktyg!$D$32,IF(AND(Diskonteringsverktyg!$D$33="Ja",Diskonteringsverktyg!$D$34="Nej"),$E32*Diskonteringsverktyg!$D$31*Diskonteringsverktyg!$D$32,IF(AND(Diskonteringsverktyg!$D$33="Nej",Diskonteringsverktyg!$D$34="Ja"),$D32*Diskonteringsverktyg!$D$31*Diskonteringsverktyg!$D$32,Diskonteringsverktyg!$D$31*Diskonteringsverktyg!$D$32)))</f>
        <v>0</v>
      </c>
      <c r="H32" s="23">
        <f>IF(AND(Diskonteringsverktyg!$D$37="Ja",Diskonteringsverktyg!$D$38="Ja"),$D32*$E32*Diskonteringsverktyg!$D$35*Diskonteringsverktyg!$D$36,IF(AND(Diskonteringsverktyg!$D$37="Ja",Diskonteringsverktyg!$D$38="Nej"),$E32*Diskonteringsverktyg!$D$35*Diskonteringsverktyg!$D$36,IF(AND(Diskonteringsverktyg!$D$37="Nej",Diskonteringsverktyg!$D$38="Ja"),$D32*Diskonteringsverktyg!$D$35*Diskonteringsverktyg!$D$36,Diskonteringsverktyg!$D$35*Diskonteringsverktyg!$D$36)))</f>
        <v>0</v>
      </c>
      <c r="I32" s="23">
        <f>IF(AND(Diskonteringsverktyg!$D$41="Ja",Diskonteringsverktyg!$D$42="Ja"),$D32*$E32*Diskonteringsverktyg!$D$39*Diskonteringsverktyg!$D$40,IF(AND(Diskonteringsverktyg!$D$41="Ja",Diskonteringsverktyg!$D$42="Nej"),$E32*Diskonteringsverktyg!$D$39*Diskonteringsverktyg!$D$40,IF(AND(Diskonteringsverktyg!$D$41="Nej",Diskonteringsverktyg!$D$42="Ja"),$D32*Diskonteringsverktyg!$D$39*Diskonteringsverktyg!$D$40,Diskonteringsverktyg!$D$39*Diskonteringsverktyg!$D$40)))</f>
        <v>0</v>
      </c>
      <c r="J32" s="23">
        <f>IF(AND(Diskonteringsverktyg!$D$45="Ja",Diskonteringsverktyg!$D$46="Ja"),$D32*$E32*Diskonteringsverktyg!$D$43*Diskonteringsverktyg!$D$44,IF(AND(Diskonteringsverktyg!$D$45="Ja",Diskonteringsverktyg!$D$46="Nej"),$E32*Diskonteringsverktyg!$D$43*Diskonteringsverktyg!$D$44,IF(AND(Diskonteringsverktyg!$D$45="Nej",Diskonteringsverktyg!$D$46="Ja"),$D32*Diskonteringsverktyg!$D$43*Diskonteringsverktyg!$D$44,Diskonteringsverktyg!$D$43*Diskonteringsverktyg!$D$44)))</f>
        <v>0</v>
      </c>
      <c r="K32" s="23">
        <f t="shared" si="0"/>
        <v>10107.094521323361</v>
      </c>
      <c r="L32" s="23">
        <f t="shared" si="1"/>
        <v>4132.160982575052</v>
      </c>
      <c r="M32" s="23">
        <f>IF((B32&lt;=Diskonteringsverktyg!$D$16),Diskonteringsverktyg!$D$50*Diskonteringsverktyg!$D$14^(B32-Diskonteringsverktyg!$D$11),M31)</f>
        <v>2199.7924377803047</v>
      </c>
      <c r="N32" s="23">
        <f t="shared" si="2"/>
        <v>899.35801648852669</v>
      </c>
      <c r="O32" s="30"/>
    </row>
    <row r="33" spans="1:15" x14ac:dyDescent="0.2">
      <c r="A33" s="97">
        <v>27</v>
      </c>
      <c r="B33" s="88">
        <f>Diskonteringsverktyg!$D$12+A33</f>
        <v>2055</v>
      </c>
      <c r="C33" s="22">
        <f>1/(Diskonteringsverktyg!$D$9)^(B33-Diskonteringsverktyg!$D$10)</f>
        <v>0.39501224231136206</v>
      </c>
      <c r="D33" s="21">
        <f>IF(B33&lt;=Diskonteringsverktyg!$D$15,Diskonteringsverktyg!$D$21^(B33-Diskonteringsverktyg!$D$24),IF(AND(B33&gt;Diskonteringsverktyg!$D$15,B33&lt;=Diskonteringsverktyg!$D$16),Diskonteringsverktyg!$D$21^(Diskonteringsverktyg!$D$15-Diskonteringsverktyg!$D$24)*Diskonteringsverktyg!$D$22^(B33-Diskonteringsverktyg!$D$15),D32))</f>
        <v>1.3614958939415058</v>
      </c>
      <c r="E33" s="21">
        <f>IF(B33&lt;=Diskonteringsverktyg!$D$16,(Diskonteringsverktyg!$D$13)^(B33-Diskonteringsverktyg!$D$23),E32)</f>
        <v>1.5092873631981141</v>
      </c>
      <c r="F33" s="23">
        <f>IF(AND(Diskonteringsverktyg!$D$29="Ja",Diskonteringsverktyg!$D$30="Ja"),$D33*$E33*Diskonteringsverktyg!$D$27*Diskonteringsverktyg!$D$28,IF(AND(Diskonteringsverktyg!$D$29="Ja",Diskonteringsverktyg!$D$30="Nej"),$E33*Diskonteringsverktyg!$D$27*Diskonteringsverktyg!$D$28,IF(AND(Diskonteringsverktyg!$D$29="Nej",Diskonteringsverktyg!$D$30="Ja"),$D33*Diskonteringsverktyg!$D$27*Diskonteringsverktyg!$D$28,Diskonteringsverktyg!$D$27*Diskonteringsverktyg!$D$28)))</f>
        <v>10274.442738860173</v>
      </c>
      <c r="G33" s="23">
        <f>IF(AND(Diskonteringsverktyg!$D$33="Ja",Diskonteringsverktyg!$D$34="Ja"),$D33*$E33*Diskonteringsverktyg!$D$31*Diskonteringsverktyg!$D$32,IF(AND(Diskonteringsverktyg!$D$33="Ja",Diskonteringsverktyg!$D$34="Nej"),$E33*Diskonteringsverktyg!$D$31*Diskonteringsverktyg!$D$32,IF(AND(Diskonteringsverktyg!$D$33="Nej",Diskonteringsverktyg!$D$34="Ja"),$D33*Diskonteringsverktyg!$D$31*Diskonteringsverktyg!$D$32,Diskonteringsverktyg!$D$31*Diskonteringsverktyg!$D$32)))</f>
        <v>0</v>
      </c>
      <c r="H33" s="23">
        <f>IF(AND(Diskonteringsverktyg!$D$37="Ja",Diskonteringsverktyg!$D$38="Ja"),$D33*$E33*Diskonteringsverktyg!$D$35*Diskonteringsverktyg!$D$36,IF(AND(Diskonteringsverktyg!$D$37="Ja",Diskonteringsverktyg!$D$38="Nej"),$E33*Diskonteringsverktyg!$D$35*Diskonteringsverktyg!$D$36,IF(AND(Diskonteringsverktyg!$D$37="Nej",Diskonteringsverktyg!$D$38="Ja"),$D33*Diskonteringsverktyg!$D$35*Diskonteringsverktyg!$D$36,Diskonteringsverktyg!$D$35*Diskonteringsverktyg!$D$36)))</f>
        <v>0</v>
      </c>
      <c r="I33" s="23">
        <f>IF(AND(Diskonteringsverktyg!$D$41="Ja",Diskonteringsverktyg!$D$42="Ja"),$D33*$E33*Diskonteringsverktyg!$D$39*Diskonteringsverktyg!$D$40,IF(AND(Diskonteringsverktyg!$D$41="Ja",Diskonteringsverktyg!$D$42="Nej"),$E33*Diskonteringsverktyg!$D$39*Diskonteringsverktyg!$D$40,IF(AND(Diskonteringsverktyg!$D$41="Nej",Diskonteringsverktyg!$D$42="Ja"),$D33*Diskonteringsverktyg!$D$39*Diskonteringsverktyg!$D$40,Diskonteringsverktyg!$D$39*Diskonteringsverktyg!$D$40)))</f>
        <v>0</v>
      </c>
      <c r="J33" s="23">
        <f>IF(AND(Diskonteringsverktyg!$D$45="Ja",Diskonteringsverktyg!$D$46="Ja"),$D33*$E33*Diskonteringsverktyg!$D$43*Diskonteringsverktyg!$D$44,IF(AND(Diskonteringsverktyg!$D$45="Ja",Diskonteringsverktyg!$D$46="Nej"),$E33*Diskonteringsverktyg!$D$43*Diskonteringsverktyg!$D$44,IF(AND(Diskonteringsverktyg!$D$45="Nej",Diskonteringsverktyg!$D$46="Ja"),$D33*Diskonteringsverktyg!$D$43*Diskonteringsverktyg!$D$44,Diskonteringsverktyg!$D$43*Diskonteringsverktyg!$D$44)))</f>
        <v>0</v>
      </c>
      <c r="K33" s="23">
        <f t="shared" si="0"/>
        <v>10274.442738860173</v>
      </c>
      <c r="L33" s="23">
        <f t="shared" si="1"/>
        <v>4058.5306647768489</v>
      </c>
      <c r="M33" s="23">
        <f>IF((B33&lt;=Diskonteringsverktyg!$D$16),Diskonteringsverktyg!$D$50*Diskonteringsverktyg!$D$14^(B33-Diskonteringsverktyg!$D$11),M32)</f>
        <v>2223.9901545958878</v>
      </c>
      <c r="N33" s="23">
        <f t="shared" si="2"/>
        <v>878.50333784531438</v>
      </c>
      <c r="O33" s="30"/>
    </row>
    <row r="34" spans="1:15" x14ac:dyDescent="0.2">
      <c r="A34" s="97">
        <v>28</v>
      </c>
      <c r="B34" s="88">
        <f>Diskonteringsverktyg!$D$12+A34</f>
        <v>2056</v>
      </c>
      <c r="C34" s="22">
        <f>1/(Diskonteringsverktyg!$D$9)^(B34-Diskonteringsverktyg!$D$10)</f>
        <v>0.38165434039745127</v>
      </c>
      <c r="D34" s="21">
        <f>IF(B34&lt;=Diskonteringsverktyg!$D$15,Diskonteringsverktyg!$D$21^(B34-Diskonteringsverktyg!$D$24),IF(AND(B34&gt;Diskonteringsverktyg!$D$15,B34&lt;=Diskonteringsverktyg!$D$16),Diskonteringsverktyg!$D$21^(Diskonteringsverktyg!$D$15-Diskonteringsverktyg!$D$24)*Diskonteringsverktyg!$D$22^(B34-Diskonteringsverktyg!$D$15),D33))</f>
        <v>1.3683033734112131</v>
      </c>
      <c r="E34" s="21">
        <f>IF(B34&lt;=Diskonteringsverktyg!$D$16,(Diskonteringsverktyg!$D$13)^(B34-Diskonteringsverktyg!$D$23),E33)</f>
        <v>1.5266441678748923</v>
      </c>
      <c r="F34" s="23">
        <f>IF(AND(Diskonteringsverktyg!$D$29="Ja",Diskonteringsverktyg!$D$30="Ja"),$D34*$E34*Diskonteringsverktyg!$D$27*Diskonteringsverktyg!$D$28,IF(AND(Diskonteringsverktyg!$D$29="Ja",Diskonteringsverktyg!$D$30="Nej"),$E34*Diskonteringsverktyg!$D$27*Diskonteringsverktyg!$D$28,IF(AND(Diskonteringsverktyg!$D$29="Nej",Diskonteringsverktyg!$D$30="Ja"),$D34*Diskonteringsverktyg!$D$27*Diskonteringsverktyg!$D$28,Diskonteringsverktyg!$D$27*Diskonteringsverktyg!$D$28)))</f>
        <v>10444.561824508846</v>
      </c>
      <c r="G34" s="23">
        <f>IF(AND(Diskonteringsverktyg!$D$33="Ja",Diskonteringsverktyg!$D$34="Ja"),$D34*$E34*Diskonteringsverktyg!$D$31*Diskonteringsverktyg!$D$32,IF(AND(Diskonteringsverktyg!$D$33="Ja",Diskonteringsverktyg!$D$34="Nej"),$E34*Diskonteringsverktyg!$D$31*Diskonteringsverktyg!$D$32,IF(AND(Diskonteringsverktyg!$D$33="Nej",Diskonteringsverktyg!$D$34="Ja"),$D34*Diskonteringsverktyg!$D$31*Diskonteringsverktyg!$D$32,Diskonteringsverktyg!$D$31*Diskonteringsverktyg!$D$32)))</f>
        <v>0</v>
      </c>
      <c r="H34" s="23">
        <f>IF(AND(Diskonteringsverktyg!$D$37="Ja",Diskonteringsverktyg!$D$38="Ja"),$D34*$E34*Diskonteringsverktyg!$D$35*Diskonteringsverktyg!$D$36,IF(AND(Diskonteringsverktyg!$D$37="Ja",Diskonteringsverktyg!$D$38="Nej"),$E34*Diskonteringsverktyg!$D$35*Diskonteringsverktyg!$D$36,IF(AND(Diskonteringsverktyg!$D$37="Nej",Diskonteringsverktyg!$D$38="Ja"),$D34*Diskonteringsverktyg!$D$35*Diskonteringsverktyg!$D$36,Diskonteringsverktyg!$D$35*Diskonteringsverktyg!$D$36)))</f>
        <v>0</v>
      </c>
      <c r="I34" s="23">
        <f>IF(AND(Diskonteringsverktyg!$D$41="Ja",Diskonteringsverktyg!$D$42="Ja"),$D34*$E34*Diskonteringsverktyg!$D$39*Diskonteringsverktyg!$D$40,IF(AND(Diskonteringsverktyg!$D$41="Ja",Diskonteringsverktyg!$D$42="Nej"),$E34*Diskonteringsverktyg!$D$39*Diskonteringsverktyg!$D$40,IF(AND(Diskonteringsverktyg!$D$41="Nej",Diskonteringsverktyg!$D$42="Ja"),$D34*Diskonteringsverktyg!$D$39*Diskonteringsverktyg!$D$40,Diskonteringsverktyg!$D$39*Diskonteringsverktyg!$D$40)))</f>
        <v>0</v>
      </c>
      <c r="J34" s="23">
        <f>IF(AND(Diskonteringsverktyg!$D$45="Ja",Diskonteringsverktyg!$D$46="Ja"),$D34*$E34*Diskonteringsverktyg!$D$43*Diskonteringsverktyg!$D$44,IF(AND(Diskonteringsverktyg!$D$45="Ja",Diskonteringsverktyg!$D$46="Nej"),$E34*Diskonteringsverktyg!$D$43*Diskonteringsverktyg!$D$44,IF(AND(Diskonteringsverktyg!$D$45="Nej",Diskonteringsverktyg!$D$46="Ja"),$D34*Diskonteringsverktyg!$D$43*Diskonteringsverktyg!$D$44,Diskonteringsverktyg!$D$43*Diskonteringsverktyg!$D$44)))</f>
        <v>0</v>
      </c>
      <c r="K34" s="23">
        <f t="shared" si="0"/>
        <v>10444.561824508846</v>
      </c>
      <c r="L34" s="23">
        <f t="shared" si="1"/>
        <v>3986.212353873324</v>
      </c>
      <c r="M34" s="23">
        <f>IF((B34&lt;=Diskonteringsverktyg!$D$16),Diskonteringsverktyg!$D$50*Diskonteringsverktyg!$D$14^(B34-Diskonteringsverktyg!$D$11),M33)</f>
        <v>2248.4540462964424</v>
      </c>
      <c r="N34" s="23">
        <f t="shared" si="2"/>
        <v>858.13224595324903</v>
      </c>
      <c r="O34" s="30"/>
    </row>
    <row r="35" spans="1:15" x14ac:dyDescent="0.2">
      <c r="A35" s="97">
        <v>29</v>
      </c>
      <c r="B35" s="88">
        <f>Diskonteringsverktyg!$D$12+A35</f>
        <v>2057</v>
      </c>
      <c r="C35" s="22">
        <f>1/(Diskonteringsverktyg!$D$9)^(B35-Diskonteringsverktyg!$D$10)</f>
        <v>0.36874815497338298</v>
      </c>
      <c r="D35" s="21">
        <f>IF(B35&lt;=Diskonteringsverktyg!$D$15,Diskonteringsverktyg!$D$21^(B35-Diskonteringsverktyg!$D$24),IF(AND(B35&gt;Diskonteringsverktyg!$D$15,B35&lt;=Diskonteringsverktyg!$D$16),Diskonteringsverktyg!$D$21^(Diskonteringsverktyg!$D$15-Diskonteringsverktyg!$D$24)*Diskonteringsverktyg!$D$22^(B35-Diskonteringsverktyg!$D$15),D34))</f>
        <v>1.3751448902782688</v>
      </c>
      <c r="E35" s="21">
        <f>IF(B35&lt;=Diskonteringsverktyg!$D$16,(Diskonteringsverktyg!$D$13)^(B35-Diskonteringsverktyg!$D$23),E34)</f>
        <v>1.5442005758054538</v>
      </c>
      <c r="F35" s="23">
        <f>IF(AND(Diskonteringsverktyg!$D$29="Ja",Diskonteringsverktyg!$D$30="Ja"),$D35*$E35*Diskonteringsverktyg!$D$27*Diskonteringsverktyg!$D$28,IF(AND(Diskonteringsverktyg!$D$29="Ja",Diskonteringsverktyg!$D$30="Nej"),$E35*Diskonteringsverktyg!$D$27*Diskonteringsverktyg!$D$28,IF(AND(Diskonteringsverktyg!$D$29="Nej",Diskonteringsverktyg!$D$30="Ja"),$D35*Diskonteringsverktyg!$D$27*Diskonteringsverktyg!$D$28,Diskonteringsverktyg!$D$27*Diskonteringsverktyg!$D$28)))</f>
        <v>10617.497656918151</v>
      </c>
      <c r="G35" s="23">
        <f>IF(AND(Diskonteringsverktyg!$D$33="Ja",Diskonteringsverktyg!$D$34="Ja"),$D35*$E35*Diskonteringsverktyg!$D$31*Diskonteringsverktyg!$D$32,IF(AND(Diskonteringsverktyg!$D$33="Ja",Diskonteringsverktyg!$D$34="Nej"),$E35*Diskonteringsverktyg!$D$31*Diskonteringsverktyg!$D$32,IF(AND(Diskonteringsverktyg!$D$33="Nej",Diskonteringsverktyg!$D$34="Ja"),$D35*Diskonteringsverktyg!$D$31*Diskonteringsverktyg!$D$32,Diskonteringsverktyg!$D$31*Diskonteringsverktyg!$D$32)))</f>
        <v>0</v>
      </c>
      <c r="H35" s="23">
        <f>IF(AND(Diskonteringsverktyg!$D$37="Ja",Diskonteringsverktyg!$D$38="Ja"),$D35*$E35*Diskonteringsverktyg!$D$35*Diskonteringsverktyg!$D$36,IF(AND(Diskonteringsverktyg!$D$37="Ja",Diskonteringsverktyg!$D$38="Nej"),$E35*Diskonteringsverktyg!$D$35*Diskonteringsverktyg!$D$36,IF(AND(Diskonteringsverktyg!$D$37="Nej",Diskonteringsverktyg!$D$38="Ja"),$D35*Diskonteringsverktyg!$D$35*Diskonteringsverktyg!$D$36,Diskonteringsverktyg!$D$35*Diskonteringsverktyg!$D$36)))</f>
        <v>0</v>
      </c>
      <c r="I35" s="23">
        <f>IF(AND(Diskonteringsverktyg!$D$41="Ja",Diskonteringsverktyg!$D$42="Ja"),$D35*$E35*Diskonteringsverktyg!$D$39*Diskonteringsverktyg!$D$40,IF(AND(Diskonteringsverktyg!$D$41="Ja",Diskonteringsverktyg!$D$42="Nej"),$E35*Diskonteringsverktyg!$D$39*Diskonteringsverktyg!$D$40,IF(AND(Diskonteringsverktyg!$D$41="Nej",Diskonteringsverktyg!$D$42="Ja"),$D35*Diskonteringsverktyg!$D$39*Diskonteringsverktyg!$D$40,Diskonteringsverktyg!$D$39*Diskonteringsverktyg!$D$40)))</f>
        <v>0</v>
      </c>
      <c r="J35" s="23">
        <f>IF(AND(Diskonteringsverktyg!$D$45="Ja",Diskonteringsverktyg!$D$46="Ja"),$D35*$E35*Diskonteringsverktyg!$D$43*Diskonteringsverktyg!$D$44,IF(AND(Diskonteringsverktyg!$D$45="Ja",Diskonteringsverktyg!$D$46="Nej"),$E35*Diskonteringsverktyg!$D$43*Diskonteringsverktyg!$D$44,IF(AND(Diskonteringsverktyg!$D$45="Nej",Diskonteringsverktyg!$D$46="Ja"),$D35*Diskonteringsverktyg!$D$43*Diskonteringsverktyg!$D$44,Diskonteringsverktyg!$D$43*Diskonteringsverktyg!$D$44)))</f>
        <v>0</v>
      </c>
      <c r="K35" s="23">
        <f t="shared" si="0"/>
        <v>10617.497656918151</v>
      </c>
      <c r="L35" s="23">
        <f t="shared" si="1"/>
        <v>3915.182671422785</v>
      </c>
      <c r="M35" s="23">
        <f>IF((B35&lt;=Diskonteringsverktyg!$D$16),Diskonteringsverktyg!$D$50*Diskonteringsverktyg!$D$14^(B35-Diskonteringsverktyg!$D$11),M34)</f>
        <v>2273.1870408057034</v>
      </c>
      <c r="N35" s="23">
        <f t="shared" si="2"/>
        <v>838.23352720650735</v>
      </c>
      <c r="O35" s="30"/>
    </row>
    <row r="36" spans="1:15" x14ac:dyDescent="0.2">
      <c r="A36" s="97">
        <v>30</v>
      </c>
      <c r="B36" s="88">
        <f>Diskonteringsverktyg!$D$12+A36</f>
        <v>2058</v>
      </c>
      <c r="C36" s="22">
        <f>1/(Diskonteringsverktyg!$D$9)^(B36-Diskonteringsverktyg!$D$10)</f>
        <v>0.35627841060230236</v>
      </c>
      <c r="D36" s="21">
        <f>IF(B36&lt;=Diskonteringsverktyg!$D$15,Diskonteringsverktyg!$D$21^(B36-Diskonteringsverktyg!$D$24),IF(AND(B36&gt;Diskonteringsverktyg!$D$15,B36&lt;=Diskonteringsverktyg!$D$16),Diskonteringsverktyg!$D$21^(Diskonteringsverktyg!$D$15-Diskonteringsverktyg!$D$24)*Diskonteringsverktyg!$D$22^(B36-Diskonteringsverktyg!$D$15),D35))</f>
        <v>1.3820206147296599</v>
      </c>
      <c r="E36" s="21">
        <f>IF(B36&lt;=Diskonteringsverktyg!$D$16,(Diskonteringsverktyg!$D$13)^(B36-Diskonteringsverktyg!$D$23),E35)</f>
        <v>1.5619588824272168</v>
      </c>
      <c r="F36" s="23">
        <f>IF(AND(Diskonteringsverktyg!$D$29="Ja",Diskonteringsverktyg!$D$30="Ja"),$D36*$E36*Diskonteringsverktyg!$D$27*Diskonteringsverktyg!$D$28,IF(AND(Diskonteringsverktyg!$D$29="Ja",Diskonteringsverktyg!$D$30="Nej"),$E36*Diskonteringsverktyg!$D$27*Diskonteringsverktyg!$D$28,IF(AND(Diskonteringsverktyg!$D$29="Nej",Diskonteringsverktyg!$D$30="Ja"),$D36*Diskonteringsverktyg!$D$27*Diskonteringsverktyg!$D$28,Diskonteringsverktyg!$D$27*Diskonteringsverktyg!$D$28)))</f>
        <v>10793.296874372572</v>
      </c>
      <c r="G36" s="23">
        <f>IF(AND(Diskonteringsverktyg!$D$33="Ja",Diskonteringsverktyg!$D$34="Ja"),$D36*$E36*Diskonteringsverktyg!$D$31*Diskonteringsverktyg!$D$32,IF(AND(Diskonteringsverktyg!$D$33="Ja",Diskonteringsverktyg!$D$34="Nej"),$E36*Diskonteringsverktyg!$D$31*Diskonteringsverktyg!$D$32,IF(AND(Diskonteringsverktyg!$D$33="Nej",Diskonteringsverktyg!$D$34="Ja"),$D36*Diskonteringsverktyg!$D$31*Diskonteringsverktyg!$D$32,Diskonteringsverktyg!$D$31*Diskonteringsverktyg!$D$32)))</f>
        <v>0</v>
      </c>
      <c r="H36" s="23">
        <f>IF(AND(Diskonteringsverktyg!$D$37="Ja",Diskonteringsverktyg!$D$38="Ja"),$D36*$E36*Diskonteringsverktyg!$D$35*Diskonteringsverktyg!$D$36,IF(AND(Diskonteringsverktyg!$D$37="Ja",Diskonteringsverktyg!$D$38="Nej"),$E36*Diskonteringsverktyg!$D$35*Diskonteringsverktyg!$D$36,IF(AND(Diskonteringsverktyg!$D$37="Nej",Diskonteringsverktyg!$D$38="Ja"),$D36*Diskonteringsverktyg!$D$35*Diskonteringsverktyg!$D$36,Diskonteringsverktyg!$D$35*Diskonteringsverktyg!$D$36)))</f>
        <v>0</v>
      </c>
      <c r="I36" s="23">
        <f>IF(AND(Diskonteringsverktyg!$D$41="Ja",Diskonteringsverktyg!$D$42="Ja"),$D36*$E36*Diskonteringsverktyg!$D$39*Diskonteringsverktyg!$D$40,IF(AND(Diskonteringsverktyg!$D$41="Ja",Diskonteringsverktyg!$D$42="Nej"),$E36*Diskonteringsverktyg!$D$39*Diskonteringsverktyg!$D$40,IF(AND(Diskonteringsverktyg!$D$41="Nej",Diskonteringsverktyg!$D$42="Ja"),$D36*Diskonteringsverktyg!$D$39*Diskonteringsverktyg!$D$40,Diskonteringsverktyg!$D$39*Diskonteringsverktyg!$D$40)))</f>
        <v>0</v>
      </c>
      <c r="J36" s="23">
        <f>IF(AND(Diskonteringsverktyg!$D$45="Ja",Diskonteringsverktyg!$D$46="Ja"),$D36*$E36*Diskonteringsverktyg!$D$43*Diskonteringsverktyg!$D$44,IF(AND(Diskonteringsverktyg!$D$45="Ja",Diskonteringsverktyg!$D$46="Nej"),$E36*Diskonteringsverktyg!$D$43*Diskonteringsverktyg!$D$44,IF(AND(Diskonteringsverktyg!$D$45="Nej",Diskonteringsverktyg!$D$46="Ja"),$D36*Diskonteringsverktyg!$D$43*Diskonteringsverktyg!$D$44,Diskonteringsverktyg!$D$43*Diskonteringsverktyg!$D$44)))</f>
        <v>0</v>
      </c>
      <c r="K36" s="23">
        <f t="shared" si="0"/>
        <v>10793.296874372572</v>
      </c>
      <c r="L36" s="23">
        <f t="shared" si="1"/>
        <v>3845.4186555602582</v>
      </c>
      <c r="M36" s="23">
        <f>IF((B36&lt;=Diskonteringsverktyg!$D$16),Diskonteringsverktyg!$D$50*Diskonteringsverktyg!$D$14^(B36-Diskonteringsverktyg!$D$11),M35)</f>
        <v>2298.1920982545662</v>
      </c>
      <c r="N36" s="23">
        <f t="shared" si="2"/>
        <v>818.79622802490712</v>
      </c>
      <c r="O36" s="30"/>
    </row>
    <row r="37" spans="1:15" x14ac:dyDescent="0.2">
      <c r="A37" s="97">
        <v>31</v>
      </c>
      <c r="B37" s="88">
        <f>Diskonteringsverktyg!$D$12+A37</f>
        <v>2059</v>
      </c>
      <c r="C37" s="22">
        <f>1/(Diskonteringsverktyg!$D$9)^(B37-Diskonteringsverktyg!$D$10)</f>
        <v>0.34423034840802164</v>
      </c>
      <c r="D37" s="21">
        <f>IF(B37&lt;=Diskonteringsverktyg!$D$15,Diskonteringsverktyg!$D$21^(B37-Diskonteringsverktyg!$D$24),IF(AND(B37&gt;Diskonteringsverktyg!$D$15,B37&lt;=Diskonteringsverktyg!$D$16),Diskonteringsverktyg!$D$21^(Diskonteringsverktyg!$D$15-Diskonteringsverktyg!$D$24)*Diskonteringsverktyg!$D$22^(B37-Diskonteringsverktyg!$D$15),D36))</f>
        <v>1.3889307178033079</v>
      </c>
      <c r="E37" s="21">
        <f>IF(B37&lt;=Diskonteringsverktyg!$D$16,(Diskonteringsverktyg!$D$13)^(B37-Diskonteringsverktyg!$D$23),E36)</f>
        <v>1.5799214095751299</v>
      </c>
      <c r="F37" s="23">
        <f>IF(AND(Diskonteringsverktyg!$D$29="Ja",Diskonteringsverktyg!$D$30="Ja"),$D37*$E37*Diskonteringsverktyg!$D$27*Diskonteringsverktyg!$D$28,IF(AND(Diskonteringsverktyg!$D$29="Ja",Diskonteringsverktyg!$D$30="Nej"),$E37*Diskonteringsverktyg!$D$27*Diskonteringsverktyg!$D$28,IF(AND(Diskonteringsverktyg!$D$29="Nej",Diskonteringsverktyg!$D$30="Ja"),$D37*Diskonteringsverktyg!$D$27*Diskonteringsverktyg!$D$28,Diskonteringsverktyg!$D$27*Diskonteringsverktyg!$D$28)))</f>
        <v>10972.006887369997</v>
      </c>
      <c r="G37" s="23">
        <f>IF(AND(Diskonteringsverktyg!$D$33="Ja",Diskonteringsverktyg!$D$34="Ja"),$D37*$E37*Diskonteringsverktyg!$D$31*Diskonteringsverktyg!$D$32,IF(AND(Diskonteringsverktyg!$D$33="Ja",Diskonteringsverktyg!$D$34="Nej"),$E37*Diskonteringsverktyg!$D$31*Diskonteringsverktyg!$D$32,IF(AND(Diskonteringsverktyg!$D$33="Nej",Diskonteringsverktyg!$D$34="Ja"),$D37*Diskonteringsverktyg!$D$31*Diskonteringsverktyg!$D$32,Diskonteringsverktyg!$D$31*Diskonteringsverktyg!$D$32)))</f>
        <v>0</v>
      </c>
      <c r="H37" s="23">
        <f>IF(AND(Diskonteringsverktyg!$D$37="Ja",Diskonteringsverktyg!$D$38="Ja"),$D37*$E37*Diskonteringsverktyg!$D$35*Diskonteringsverktyg!$D$36,IF(AND(Diskonteringsverktyg!$D$37="Ja",Diskonteringsverktyg!$D$38="Nej"),$E37*Diskonteringsverktyg!$D$35*Diskonteringsverktyg!$D$36,IF(AND(Diskonteringsverktyg!$D$37="Nej",Diskonteringsverktyg!$D$38="Ja"),$D37*Diskonteringsverktyg!$D$35*Diskonteringsverktyg!$D$36,Diskonteringsverktyg!$D$35*Diskonteringsverktyg!$D$36)))</f>
        <v>0</v>
      </c>
      <c r="I37" s="23">
        <f>IF(AND(Diskonteringsverktyg!$D$41="Ja",Diskonteringsverktyg!$D$42="Ja"),$D37*$E37*Diskonteringsverktyg!$D$39*Diskonteringsverktyg!$D$40,IF(AND(Diskonteringsverktyg!$D$41="Ja",Diskonteringsverktyg!$D$42="Nej"),$E37*Diskonteringsverktyg!$D$39*Diskonteringsverktyg!$D$40,IF(AND(Diskonteringsverktyg!$D$41="Nej",Diskonteringsverktyg!$D$42="Ja"),$D37*Diskonteringsverktyg!$D$39*Diskonteringsverktyg!$D$40,Diskonteringsverktyg!$D$39*Diskonteringsverktyg!$D$40)))</f>
        <v>0</v>
      </c>
      <c r="J37" s="23">
        <f>IF(AND(Diskonteringsverktyg!$D$45="Ja",Diskonteringsverktyg!$D$46="Ja"),$D37*$E37*Diskonteringsverktyg!$D$43*Diskonteringsverktyg!$D$44,IF(AND(Diskonteringsverktyg!$D$45="Ja",Diskonteringsverktyg!$D$46="Nej"),$E37*Diskonteringsverktyg!$D$43*Diskonteringsverktyg!$D$44,IF(AND(Diskonteringsverktyg!$D$45="Nej",Diskonteringsverktyg!$D$46="Ja"),$D37*Diskonteringsverktyg!$D$43*Diskonteringsverktyg!$D$44,Diskonteringsverktyg!$D$43*Diskonteringsverktyg!$D$44)))</f>
        <v>0</v>
      </c>
      <c r="K37" s="23">
        <f t="shared" si="0"/>
        <v>10972.006887369997</v>
      </c>
      <c r="L37" s="23">
        <f t="shared" si="1"/>
        <v>3776.8977535745871</v>
      </c>
      <c r="M37" s="23">
        <f>IF((B37&lt;=Diskonteringsverktyg!$D$16),Diskonteringsverktyg!$D$50*Diskonteringsverktyg!$D$14^(B37-Diskonteringsverktyg!$D$11),M36)</f>
        <v>2323.472211335366</v>
      </c>
      <c r="N37" s="23">
        <f t="shared" si="2"/>
        <v>799.80964882432954</v>
      </c>
      <c r="O37" s="30"/>
    </row>
    <row r="38" spans="1:15" x14ac:dyDescent="0.2">
      <c r="A38" s="97">
        <v>32</v>
      </c>
      <c r="B38" s="88">
        <f>Diskonteringsverktyg!$D$12+A38</f>
        <v>2060</v>
      </c>
      <c r="C38" s="22">
        <f>1/(Diskonteringsverktyg!$D$9)^(B38-Diskonteringsverktyg!$D$10)</f>
        <v>0.33258970860678427</v>
      </c>
      <c r="D38" s="21">
        <f>IF(B38&lt;=Diskonteringsverktyg!$D$15,Diskonteringsverktyg!$D$21^(B38-Diskonteringsverktyg!$D$24),IF(AND(B38&gt;Diskonteringsverktyg!$D$15,B38&lt;=Diskonteringsverktyg!$D$16),Diskonteringsverktyg!$D$21^(Diskonteringsverktyg!$D$15-Diskonteringsverktyg!$D$24)*Diskonteringsverktyg!$D$22^(B38-Diskonteringsverktyg!$D$15),D37))</f>
        <v>1.3958753713923242</v>
      </c>
      <c r="E38" s="21">
        <f>IF(B38&lt;=Diskonteringsverktyg!$D$16,(Diskonteringsverktyg!$D$13)^(B38-Diskonteringsverktyg!$D$23),E37)</f>
        <v>1.5980905057852441</v>
      </c>
      <c r="F38" s="23">
        <f>IF(AND(Diskonteringsverktyg!$D$29="Ja",Diskonteringsverktyg!$D$30="Ja"),$D38*$E38*Diskonteringsverktyg!$D$27*Diskonteringsverktyg!$D$28,IF(AND(Diskonteringsverktyg!$D$29="Ja",Diskonteringsverktyg!$D$30="Nej"),$E38*Diskonteringsverktyg!$D$27*Diskonteringsverktyg!$D$28,IF(AND(Diskonteringsverktyg!$D$29="Nej",Diskonteringsverktyg!$D$30="Ja"),$D38*Diskonteringsverktyg!$D$27*Diskonteringsverktyg!$D$28,Diskonteringsverktyg!$D$27*Diskonteringsverktyg!$D$28)))</f>
        <v>11153.675891407624</v>
      </c>
      <c r="G38" s="23">
        <f>IF(AND(Diskonteringsverktyg!$D$33="Ja",Diskonteringsverktyg!$D$34="Ja"),$D38*$E38*Diskonteringsverktyg!$D$31*Diskonteringsverktyg!$D$32,IF(AND(Diskonteringsverktyg!$D$33="Ja",Diskonteringsverktyg!$D$34="Nej"),$E38*Diskonteringsverktyg!$D$31*Diskonteringsverktyg!$D$32,IF(AND(Diskonteringsverktyg!$D$33="Nej",Diskonteringsverktyg!$D$34="Ja"),$D38*Diskonteringsverktyg!$D$31*Diskonteringsverktyg!$D$32,Diskonteringsverktyg!$D$31*Diskonteringsverktyg!$D$32)))</f>
        <v>0</v>
      </c>
      <c r="H38" s="23">
        <f>IF(AND(Diskonteringsverktyg!$D$37="Ja",Diskonteringsverktyg!$D$38="Ja"),$D38*$E38*Diskonteringsverktyg!$D$35*Diskonteringsverktyg!$D$36,IF(AND(Diskonteringsverktyg!$D$37="Ja",Diskonteringsverktyg!$D$38="Nej"),$E38*Diskonteringsverktyg!$D$35*Diskonteringsverktyg!$D$36,IF(AND(Diskonteringsverktyg!$D$37="Nej",Diskonteringsverktyg!$D$38="Ja"),$D38*Diskonteringsverktyg!$D$35*Diskonteringsverktyg!$D$36,Diskonteringsverktyg!$D$35*Diskonteringsverktyg!$D$36)))</f>
        <v>0</v>
      </c>
      <c r="I38" s="23">
        <f>IF(AND(Diskonteringsverktyg!$D$41="Ja",Diskonteringsverktyg!$D$42="Ja"),$D38*$E38*Diskonteringsverktyg!$D$39*Diskonteringsverktyg!$D$40,IF(AND(Diskonteringsverktyg!$D$41="Ja",Diskonteringsverktyg!$D$42="Nej"),$E38*Diskonteringsverktyg!$D$39*Diskonteringsverktyg!$D$40,IF(AND(Diskonteringsverktyg!$D$41="Nej",Diskonteringsverktyg!$D$42="Ja"),$D38*Diskonteringsverktyg!$D$39*Diskonteringsverktyg!$D$40,Diskonteringsverktyg!$D$39*Diskonteringsverktyg!$D$40)))</f>
        <v>0</v>
      </c>
      <c r="J38" s="23">
        <f>IF(AND(Diskonteringsverktyg!$D$45="Ja",Diskonteringsverktyg!$D$46="Ja"),$D38*$E38*Diskonteringsverktyg!$D$43*Diskonteringsverktyg!$D$44,IF(AND(Diskonteringsverktyg!$D$45="Ja",Diskonteringsverktyg!$D$46="Nej"),$E38*Diskonteringsverktyg!$D$43*Diskonteringsverktyg!$D$44,IF(AND(Diskonteringsverktyg!$D$45="Nej",Diskonteringsverktyg!$D$46="Ja"),$D38*Diskonteringsverktyg!$D$43*Diskonteringsverktyg!$D$44,Diskonteringsverktyg!$D$43*Diskonteringsverktyg!$D$44)))</f>
        <v>0</v>
      </c>
      <c r="K38" s="23">
        <f t="shared" si="0"/>
        <v>11153.675891407624</v>
      </c>
      <c r="L38" s="23">
        <f t="shared" si="1"/>
        <v>3709.5978146177763</v>
      </c>
      <c r="M38" s="23">
        <f>IF((B38&lt;=Diskonteringsverktyg!$D$16),Diskonteringsverktyg!$D$50*Diskonteringsverktyg!$D$14^(B38-Diskonteringsverktyg!$D$11),M37)</f>
        <v>2349.0304056600548</v>
      </c>
      <c r="N38" s="23">
        <f t="shared" si="2"/>
        <v>781.26333812695384</v>
      </c>
      <c r="O38" s="30"/>
    </row>
    <row r="39" spans="1:15" x14ac:dyDescent="0.2">
      <c r="A39" s="97">
        <v>33</v>
      </c>
      <c r="B39" s="88">
        <f>Diskonteringsverktyg!$D$12+A39</f>
        <v>2061</v>
      </c>
      <c r="C39" s="22">
        <f>1/(Diskonteringsverktyg!$D$9)^(B39-Diskonteringsverktyg!$D$10)</f>
        <v>0.32134271362974326</v>
      </c>
      <c r="D39" s="21">
        <f>IF(B39&lt;=Diskonteringsverktyg!$D$15,Diskonteringsverktyg!$D$21^(B39-Diskonteringsverktyg!$D$24),IF(AND(B39&gt;Diskonteringsverktyg!$D$15,B39&lt;=Diskonteringsverktyg!$D$16),Diskonteringsverktyg!$D$21^(Diskonteringsverktyg!$D$15-Diskonteringsverktyg!$D$24)*Diskonteringsverktyg!$D$22^(B39-Diskonteringsverktyg!$D$15),D38))</f>
        <v>1.4028547482492857</v>
      </c>
      <c r="E39" s="21">
        <f>IF(B39&lt;=Diskonteringsverktyg!$D$16,(Diskonteringsverktyg!$D$13)^(B39-Diskonteringsverktyg!$D$23),E38)</f>
        <v>1.6164685466017745</v>
      </c>
      <c r="F39" s="23">
        <f>IF(AND(Diskonteringsverktyg!$D$29="Ja",Diskonteringsverktyg!$D$30="Ja"),$D39*$E39*Diskonteringsverktyg!$D$27*Diskonteringsverktyg!$D$28,IF(AND(Diskonteringsverktyg!$D$29="Ja",Diskonteringsverktyg!$D$30="Nej"),$E39*Diskonteringsverktyg!$D$27*Diskonteringsverktyg!$D$28,IF(AND(Diskonteringsverktyg!$D$29="Nej",Diskonteringsverktyg!$D$30="Ja"),$D39*Diskonteringsverktyg!$D$27*Diskonteringsverktyg!$D$28,Diskonteringsverktyg!$D$27*Diskonteringsverktyg!$D$28)))</f>
        <v>11338.352879979606</v>
      </c>
      <c r="G39" s="23">
        <f>IF(AND(Diskonteringsverktyg!$D$33="Ja",Diskonteringsverktyg!$D$34="Ja"),$D39*$E39*Diskonteringsverktyg!$D$31*Diskonteringsverktyg!$D$32,IF(AND(Diskonteringsverktyg!$D$33="Ja",Diskonteringsverktyg!$D$34="Nej"),$E39*Diskonteringsverktyg!$D$31*Diskonteringsverktyg!$D$32,IF(AND(Diskonteringsverktyg!$D$33="Nej",Diskonteringsverktyg!$D$34="Ja"),$D39*Diskonteringsverktyg!$D$31*Diskonteringsverktyg!$D$32,Diskonteringsverktyg!$D$31*Diskonteringsverktyg!$D$32)))</f>
        <v>0</v>
      </c>
      <c r="H39" s="23">
        <f>IF(AND(Diskonteringsverktyg!$D$37="Ja",Diskonteringsverktyg!$D$38="Ja"),$D39*$E39*Diskonteringsverktyg!$D$35*Diskonteringsverktyg!$D$36,IF(AND(Diskonteringsverktyg!$D$37="Ja",Diskonteringsverktyg!$D$38="Nej"),$E39*Diskonteringsverktyg!$D$35*Diskonteringsverktyg!$D$36,IF(AND(Diskonteringsverktyg!$D$37="Nej",Diskonteringsverktyg!$D$38="Ja"),$D39*Diskonteringsverktyg!$D$35*Diskonteringsverktyg!$D$36,Diskonteringsverktyg!$D$35*Diskonteringsverktyg!$D$36)))</f>
        <v>0</v>
      </c>
      <c r="I39" s="23">
        <f>IF(AND(Diskonteringsverktyg!$D$41="Ja",Diskonteringsverktyg!$D$42="Ja"),$D39*$E39*Diskonteringsverktyg!$D$39*Diskonteringsverktyg!$D$40,IF(AND(Diskonteringsverktyg!$D$41="Ja",Diskonteringsverktyg!$D$42="Nej"),$E39*Diskonteringsverktyg!$D$39*Diskonteringsverktyg!$D$40,IF(AND(Diskonteringsverktyg!$D$41="Nej",Diskonteringsverktyg!$D$42="Ja"),$D39*Diskonteringsverktyg!$D$39*Diskonteringsverktyg!$D$40,Diskonteringsverktyg!$D$39*Diskonteringsverktyg!$D$40)))</f>
        <v>0</v>
      </c>
      <c r="J39" s="23">
        <f>IF(AND(Diskonteringsverktyg!$D$45="Ja",Diskonteringsverktyg!$D$46="Ja"),$D39*$E39*Diskonteringsverktyg!$D$43*Diskonteringsverktyg!$D$44,IF(AND(Diskonteringsverktyg!$D$45="Ja",Diskonteringsverktyg!$D$46="Nej"),$E39*Diskonteringsverktyg!$D$43*Diskonteringsverktyg!$D$44,IF(AND(Diskonteringsverktyg!$D$45="Nej",Diskonteringsverktyg!$D$46="Ja"),$D39*Diskonteringsverktyg!$D$43*Diskonteringsverktyg!$D$44,Diskonteringsverktyg!$D$43*Diskonteringsverktyg!$D$44)))</f>
        <v>0</v>
      </c>
      <c r="K39" s="23">
        <f t="shared" si="0"/>
        <v>11338.352879979606</v>
      </c>
      <c r="L39" s="23">
        <f t="shared" si="1"/>
        <v>3643.497082544261</v>
      </c>
      <c r="M39" s="23">
        <f>IF((B39&lt;=Diskonteringsverktyg!$D$16),Diskonteringsverktyg!$D$50*Diskonteringsverktyg!$D$14^(B39-Diskonteringsverktyg!$D$11),M38)</f>
        <v>2374.8697401223149</v>
      </c>
      <c r="N39" s="23">
        <f t="shared" si="2"/>
        <v>763.1470868080678</v>
      </c>
      <c r="O39" s="30"/>
    </row>
    <row r="40" spans="1:15" x14ac:dyDescent="0.2">
      <c r="A40" s="97">
        <v>34</v>
      </c>
      <c r="B40" s="88">
        <f>Diskonteringsverktyg!$D$12+A40</f>
        <v>2062</v>
      </c>
      <c r="C40" s="22">
        <f>1/(Diskonteringsverktyg!$D$9)^(B40-Diskonteringsverktyg!$D$10)</f>
        <v>0.3104760518161771</v>
      </c>
      <c r="D40" s="21">
        <f>IF(B40&lt;=Diskonteringsverktyg!$D$15,Diskonteringsverktyg!$D$21^(B40-Diskonteringsverktyg!$D$24),IF(AND(B40&gt;Diskonteringsverktyg!$D$15,B40&lt;=Diskonteringsverktyg!$D$16),Diskonteringsverktyg!$D$21^(Diskonteringsverktyg!$D$15-Diskonteringsverktyg!$D$24)*Diskonteringsverktyg!$D$22^(B40-Diskonteringsverktyg!$D$15),D39))</f>
        <v>1.4098690219905321</v>
      </c>
      <c r="E40" s="21">
        <f>IF(B40&lt;=Diskonteringsverktyg!$D$16,(Diskonteringsverktyg!$D$13)^(B40-Diskonteringsverktyg!$D$23),E39)</f>
        <v>1.635057934887695</v>
      </c>
      <c r="F40" s="23">
        <f>IF(AND(Diskonteringsverktyg!$D$29="Ja",Diskonteringsverktyg!$D$30="Ja"),$D40*$E40*Diskonteringsverktyg!$D$27*Diskonteringsverktyg!$D$28,IF(AND(Diskonteringsverktyg!$D$29="Ja",Diskonteringsverktyg!$D$30="Nej"),$E40*Diskonteringsverktyg!$D$27*Diskonteringsverktyg!$D$28,IF(AND(Diskonteringsverktyg!$D$29="Nej",Diskonteringsverktyg!$D$30="Ja"),$D40*Diskonteringsverktyg!$D$27*Diskonteringsverktyg!$D$28,Diskonteringsverktyg!$D$27*Diskonteringsverktyg!$D$28)))</f>
        <v>11526.087657789867</v>
      </c>
      <c r="G40" s="23">
        <f>IF(AND(Diskonteringsverktyg!$D$33="Ja",Diskonteringsverktyg!$D$34="Ja"),$D40*$E40*Diskonteringsverktyg!$D$31*Diskonteringsverktyg!$D$32,IF(AND(Diskonteringsverktyg!$D$33="Ja",Diskonteringsverktyg!$D$34="Nej"),$E40*Diskonteringsverktyg!$D$31*Diskonteringsverktyg!$D$32,IF(AND(Diskonteringsverktyg!$D$33="Nej",Diskonteringsverktyg!$D$34="Ja"),$D40*Diskonteringsverktyg!$D$31*Diskonteringsverktyg!$D$32,Diskonteringsverktyg!$D$31*Diskonteringsverktyg!$D$32)))</f>
        <v>0</v>
      </c>
      <c r="H40" s="23">
        <f>IF(AND(Diskonteringsverktyg!$D$37="Ja",Diskonteringsverktyg!$D$38="Ja"),$D40*$E40*Diskonteringsverktyg!$D$35*Diskonteringsverktyg!$D$36,IF(AND(Diskonteringsverktyg!$D$37="Ja",Diskonteringsverktyg!$D$38="Nej"),$E40*Diskonteringsverktyg!$D$35*Diskonteringsverktyg!$D$36,IF(AND(Diskonteringsverktyg!$D$37="Nej",Diskonteringsverktyg!$D$38="Ja"),$D40*Diskonteringsverktyg!$D$35*Diskonteringsverktyg!$D$36,Diskonteringsverktyg!$D$35*Diskonteringsverktyg!$D$36)))</f>
        <v>0</v>
      </c>
      <c r="I40" s="23">
        <f>IF(AND(Diskonteringsverktyg!$D$41="Ja",Diskonteringsverktyg!$D$42="Ja"),$D40*$E40*Diskonteringsverktyg!$D$39*Diskonteringsverktyg!$D$40,IF(AND(Diskonteringsverktyg!$D$41="Ja",Diskonteringsverktyg!$D$42="Nej"),$E40*Diskonteringsverktyg!$D$39*Diskonteringsverktyg!$D$40,IF(AND(Diskonteringsverktyg!$D$41="Nej",Diskonteringsverktyg!$D$42="Ja"),$D40*Diskonteringsverktyg!$D$39*Diskonteringsverktyg!$D$40,Diskonteringsverktyg!$D$39*Diskonteringsverktyg!$D$40)))</f>
        <v>0</v>
      </c>
      <c r="J40" s="23">
        <f>IF(AND(Diskonteringsverktyg!$D$45="Ja",Diskonteringsverktyg!$D$46="Ja"),$D40*$E40*Diskonteringsverktyg!$D$43*Diskonteringsverktyg!$D$44,IF(AND(Diskonteringsverktyg!$D$45="Ja",Diskonteringsverktyg!$D$46="Nej"),$E40*Diskonteringsverktyg!$D$43*Diskonteringsverktyg!$D$44,IF(AND(Diskonteringsverktyg!$D$45="Nej",Diskonteringsverktyg!$D$46="Ja"),$D40*Diskonteringsverktyg!$D$43*Diskonteringsverktyg!$D$44,Diskonteringsverktyg!$D$43*Diskonteringsverktyg!$D$44)))</f>
        <v>0</v>
      </c>
      <c r="K40" s="23">
        <f t="shared" si="0"/>
        <v>11526.087657789867</v>
      </c>
      <c r="L40" s="23">
        <f t="shared" si="1"/>
        <v>3578.5741888777661</v>
      </c>
      <c r="M40" s="23">
        <f>IF((B40&lt;=Diskonteringsverktyg!$D$16),Diskonteringsverktyg!$D$50*Diskonteringsverktyg!$D$14^(B40-Diskonteringsverktyg!$D$11),M39)</f>
        <v>2400.9933072636604</v>
      </c>
      <c r="N40" s="23">
        <f t="shared" si="2"/>
        <v>745.45092247628668</v>
      </c>
      <c r="O40" s="30"/>
    </row>
    <row r="41" spans="1:15" x14ac:dyDescent="0.2">
      <c r="A41" s="97">
        <v>35</v>
      </c>
      <c r="B41" s="88">
        <f>Diskonteringsverktyg!$D$12+A41</f>
        <v>2063</v>
      </c>
      <c r="C41" s="22">
        <f>1/(Diskonteringsverktyg!$D$9)^(B41-Diskonteringsverktyg!$D$10)</f>
        <v>0.29997686165814214</v>
      </c>
      <c r="D41" s="21">
        <f>IF(B41&lt;=Diskonteringsverktyg!$D$15,Diskonteringsverktyg!$D$21^(B41-Diskonteringsverktyg!$D$24),IF(AND(B41&gt;Diskonteringsverktyg!$D$15,B41&lt;=Diskonteringsverktyg!$D$16),Diskonteringsverktyg!$D$21^(Diskonteringsverktyg!$D$15-Diskonteringsverktyg!$D$24)*Diskonteringsverktyg!$D$22^(B41-Diskonteringsverktyg!$D$15),D40))</f>
        <v>1.4169183671004844</v>
      </c>
      <c r="E41" s="21">
        <f>IF(B41&lt;=Diskonteringsverktyg!$D$16,(Diskonteringsverktyg!$D$13)^(B41-Diskonteringsverktyg!$D$23),E40)</f>
        <v>1.6538611011389037</v>
      </c>
      <c r="F41" s="23">
        <f>IF(AND(Diskonteringsverktyg!$D$29="Ja",Diskonteringsverktyg!$D$30="Ja"),$D41*$E41*Diskonteringsverktyg!$D$27*Diskonteringsverktyg!$D$28,IF(AND(Diskonteringsverktyg!$D$29="Ja",Diskonteringsverktyg!$D$30="Nej"),$E41*Diskonteringsverktyg!$D$27*Diskonteringsverktyg!$D$28,IF(AND(Diskonteringsverktyg!$D$29="Nej",Diskonteringsverktyg!$D$30="Ja"),$D41*Diskonteringsverktyg!$D$27*Diskonteringsverktyg!$D$28,Diskonteringsverktyg!$D$27*Diskonteringsverktyg!$D$28)))</f>
        <v>11716.930854183722</v>
      </c>
      <c r="G41" s="23">
        <f>IF(AND(Diskonteringsverktyg!$D$33="Ja",Diskonteringsverktyg!$D$34="Ja"),$D41*$E41*Diskonteringsverktyg!$D$31*Diskonteringsverktyg!$D$32,IF(AND(Diskonteringsverktyg!$D$33="Ja",Diskonteringsverktyg!$D$34="Nej"),$E41*Diskonteringsverktyg!$D$31*Diskonteringsverktyg!$D$32,IF(AND(Diskonteringsverktyg!$D$33="Nej",Diskonteringsverktyg!$D$34="Ja"),$D41*Diskonteringsverktyg!$D$31*Diskonteringsverktyg!$D$32,Diskonteringsverktyg!$D$31*Diskonteringsverktyg!$D$32)))</f>
        <v>0</v>
      </c>
      <c r="H41" s="23">
        <f>IF(AND(Diskonteringsverktyg!$D$37="Ja",Diskonteringsverktyg!$D$38="Ja"),$D41*$E41*Diskonteringsverktyg!$D$35*Diskonteringsverktyg!$D$36,IF(AND(Diskonteringsverktyg!$D$37="Ja",Diskonteringsverktyg!$D$38="Nej"),$E41*Diskonteringsverktyg!$D$35*Diskonteringsverktyg!$D$36,IF(AND(Diskonteringsverktyg!$D$37="Nej",Diskonteringsverktyg!$D$38="Ja"),$D41*Diskonteringsverktyg!$D$35*Diskonteringsverktyg!$D$36,Diskonteringsverktyg!$D$35*Diskonteringsverktyg!$D$36)))</f>
        <v>0</v>
      </c>
      <c r="I41" s="23">
        <f>IF(AND(Diskonteringsverktyg!$D$41="Ja",Diskonteringsverktyg!$D$42="Ja"),$D41*$E41*Diskonteringsverktyg!$D$39*Diskonteringsverktyg!$D$40,IF(AND(Diskonteringsverktyg!$D$41="Ja",Diskonteringsverktyg!$D$42="Nej"),$E41*Diskonteringsverktyg!$D$39*Diskonteringsverktyg!$D$40,IF(AND(Diskonteringsverktyg!$D$41="Nej",Diskonteringsverktyg!$D$42="Ja"),$D41*Diskonteringsverktyg!$D$39*Diskonteringsverktyg!$D$40,Diskonteringsverktyg!$D$39*Diskonteringsverktyg!$D$40)))</f>
        <v>0</v>
      </c>
      <c r="J41" s="23">
        <f>IF(AND(Diskonteringsverktyg!$D$45="Ja",Diskonteringsverktyg!$D$46="Ja"),$D41*$E41*Diskonteringsverktyg!$D$43*Diskonteringsverktyg!$D$44,IF(AND(Diskonteringsverktyg!$D$45="Ja",Diskonteringsverktyg!$D$46="Nej"),$E41*Diskonteringsverktyg!$D$43*Diskonteringsverktyg!$D$44,IF(AND(Diskonteringsverktyg!$D$45="Nej",Diskonteringsverktyg!$D$46="Ja"),$D41*Diskonteringsverktyg!$D$43*Diskonteringsverktyg!$D$44,Diskonteringsverktyg!$D$43*Diskonteringsverktyg!$D$44)))</f>
        <v>0</v>
      </c>
      <c r="K41" s="23">
        <f t="shared" si="0"/>
        <v>11716.930854183722</v>
      </c>
      <c r="L41" s="23">
        <f t="shared" si="1"/>
        <v>3514.8081459034875</v>
      </c>
      <c r="M41" s="23">
        <f>IF((B41&lt;=Diskonteringsverktyg!$D$16),Diskonteringsverktyg!$D$50*Diskonteringsverktyg!$D$14^(B41-Diskonteringsverktyg!$D$11),M40)</f>
        <v>2427.4042336435609</v>
      </c>
      <c r="N41" s="23">
        <f t="shared" si="2"/>
        <v>728.16510398408298</v>
      </c>
      <c r="O41" s="30"/>
    </row>
    <row r="42" spans="1:15" x14ac:dyDescent="0.2">
      <c r="A42" s="97">
        <v>36</v>
      </c>
      <c r="B42" s="88">
        <f>Diskonteringsverktyg!$D$12+A42</f>
        <v>2064</v>
      </c>
      <c r="C42" s="22">
        <f>1/(Diskonteringsverktyg!$D$9)^(B42-Diskonteringsverktyg!$D$10)</f>
        <v>0.28983271657791515</v>
      </c>
      <c r="D42" s="21">
        <f>IF(B42&lt;=Diskonteringsverktyg!$D$15,Diskonteringsverktyg!$D$21^(B42-Diskonteringsverktyg!$D$24),IF(AND(B42&gt;Diskonteringsverktyg!$D$15,B42&lt;=Diskonteringsverktyg!$D$16),Diskonteringsverktyg!$D$21^(Diskonteringsverktyg!$D$15-Diskonteringsverktyg!$D$24)*Diskonteringsverktyg!$D$22^(B42-Diskonteringsverktyg!$D$15),D41))</f>
        <v>1.4240029589359866</v>
      </c>
      <c r="E42" s="21">
        <f>IF(B42&lt;=Diskonteringsverktyg!$D$16,(Diskonteringsverktyg!$D$13)^(B42-Diskonteringsverktyg!$D$23),E41)</f>
        <v>1.6728805038020012</v>
      </c>
      <c r="F42" s="23">
        <f>IF(AND(Diskonteringsverktyg!$D$29="Ja",Diskonteringsverktyg!$D$30="Ja"),$D42*$E42*Diskonteringsverktyg!$D$27*Diskonteringsverktyg!$D$28,IF(AND(Diskonteringsverktyg!$D$29="Ja",Diskonteringsverktyg!$D$30="Nej"),$E42*Diskonteringsverktyg!$D$27*Diskonteringsverktyg!$D$28,IF(AND(Diskonteringsverktyg!$D$29="Nej",Diskonteringsverktyg!$D$30="Ja"),$D42*Diskonteringsverktyg!$D$27*Diskonteringsverktyg!$D$28,Diskonteringsverktyg!$D$27*Diskonteringsverktyg!$D$28)))</f>
        <v>11910.933936801868</v>
      </c>
      <c r="G42" s="23">
        <f>IF(AND(Diskonteringsverktyg!$D$33="Ja",Diskonteringsverktyg!$D$34="Ja"),$D42*$E42*Diskonteringsverktyg!$D$31*Diskonteringsverktyg!$D$32,IF(AND(Diskonteringsverktyg!$D$33="Ja",Diskonteringsverktyg!$D$34="Nej"),$E42*Diskonteringsverktyg!$D$31*Diskonteringsverktyg!$D$32,IF(AND(Diskonteringsverktyg!$D$33="Nej",Diskonteringsverktyg!$D$34="Ja"),$D42*Diskonteringsverktyg!$D$31*Diskonteringsverktyg!$D$32,Diskonteringsverktyg!$D$31*Diskonteringsverktyg!$D$32)))</f>
        <v>0</v>
      </c>
      <c r="H42" s="23">
        <f>IF(AND(Diskonteringsverktyg!$D$37="Ja",Diskonteringsverktyg!$D$38="Ja"),$D42*$E42*Diskonteringsverktyg!$D$35*Diskonteringsverktyg!$D$36,IF(AND(Diskonteringsverktyg!$D$37="Ja",Diskonteringsverktyg!$D$38="Nej"),$E42*Diskonteringsverktyg!$D$35*Diskonteringsverktyg!$D$36,IF(AND(Diskonteringsverktyg!$D$37="Nej",Diskonteringsverktyg!$D$38="Ja"),$D42*Diskonteringsverktyg!$D$35*Diskonteringsverktyg!$D$36,Diskonteringsverktyg!$D$35*Diskonteringsverktyg!$D$36)))</f>
        <v>0</v>
      </c>
      <c r="I42" s="23">
        <f>IF(AND(Diskonteringsverktyg!$D$41="Ja",Diskonteringsverktyg!$D$42="Ja"),$D42*$E42*Diskonteringsverktyg!$D$39*Diskonteringsverktyg!$D$40,IF(AND(Diskonteringsverktyg!$D$41="Ja",Diskonteringsverktyg!$D$42="Nej"),$E42*Diskonteringsverktyg!$D$39*Diskonteringsverktyg!$D$40,IF(AND(Diskonteringsverktyg!$D$41="Nej",Diskonteringsverktyg!$D$42="Ja"),$D42*Diskonteringsverktyg!$D$39*Diskonteringsverktyg!$D$40,Diskonteringsverktyg!$D$39*Diskonteringsverktyg!$D$40)))</f>
        <v>0</v>
      </c>
      <c r="J42" s="23">
        <f>IF(AND(Diskonteringsverktyg!$D$45="Ja",Diskonteringsverktyg!$D$46="Ja"),$D42*$E42*Diskonteringsverktyg!$D$43*Diskonteringsverktyg!$D$44,IF(AND(Diskonteringsverktyg!$D$45="Ja",Diskonteringsverktyg!$D$46="Nej"),$E42*Diskonteringsverktyg!$D$43*Diskonteringsverktyg!$D$44,IF(AND(Diskonteringsverktyg!$D$45="Nej",Diskonteringsverktyg!$D$46="Ja"),$D42*Diskonteringsverktyg!$D$43*Diskonteringsverktyg!$D$44,Diskonteringsverktyg!$D$43*Diskonteringsverktyg!$D$44)))</f>
        <v>0</v>
      </c>
      <c r="K42" s="23">
        <f t="shared" si="0"/>
        <v>11910.933936801868</v>
      </c>
      <c r="L42" s="23">
        <f t="shared" si="1"/>
        <v>3452.1783398833668</v>
      </c>
      <c r="M42" s="23">
        <f>IF((B42&lt;=Diskonteringsverktyg!$D$16),Diskonteringsverktyg!$D$50*Diskonteringsverktyg!$D$14^(B42-Diskonteringsverktyg!$D$11),M41)</f>
        <v>2454.1056802136395</v>
      </c>
      <c r="N42" s="23">
        <f t="shared" si="2"/>
        <v>711.28011606561142</v>
      </c>
      <c r="O42" s="30"/>
    </row>
    <row r="43" spans="1:15" x14ac:dyDescent="0.2">
      <c r="A43" s="98">
        <v>37</v>
      </c>
      <c r="B43" s="95">
        <f>Diskonteringsverktyg!$D$12+A43</f>
        <v>2065</v>
      </c>
      <c r="C43" s="84">
        <f>1/(Diskonteringsverktyg!$D$9)^(B43-Diskonteringsverktyg!$D$10)</f>
        <v>0.28003161022020789</v>
      </c>
      <c r="D43" s="85">
        <f>IF(B43&lt;=Diskonteringsverktyg!$D$15,Diskonteringsverktyg!$D$21^(B43-Diskonteringsverktyg!$D$24),IF(AND(B43&gt;Diskonteringsverktyg!$D$15,B43&lt;=Diskonteringsverktyg!$D$16),Diskonteringsverktyg!$D$21^(Diskonteringsverktyg!$D$15-Diskonteringsverktyg!$D$24)*Diskonteringsverktyg!$D$22^(B43-Diskonteringsverktyg!$D$15),D42))</f>
        <v>1.4311229737306663</v>
      </c>
      <c r="E43" s="85">
        <f>IF(B43&lt;=Diskonteringsverktyg!$D$16,(Diskonteringsverktyg!$D$13)^(B43-Diskonteringsverktyg!$D$23),E42)</f>
        <v>1.6921186295957242</v>
      </c>
      <c r="F43" s="86">
        <f>IF(AND(Diskonteringsverktyg!$D$29="Ja",Diskonteringsverktyg!$D$30="Ja"),$D43*$E43*Diskonteringsverktyg!$D$27*Diskonteringsverktyg!$D$28,IF(AND(Diskonteringsverktyg!$D$29="Ja",Diskonteringsverktyg!$D$30="Nej"),$E43*Diskonteringsverktyg!$D$27*Diskonteringsverktyg!$D$28,IF(AND(Diskonteringsverktyg!$D$29="Nej",Diskonteringsverktyg!$D$30="Ja"),$D43*Diskonteringsverktyg!$D$27*Diskonteringsverktyg!$D$28,Diskonteringsverktyg!$D$27*Diskonteringsverktyg!$D$28)))</f>
        <v>12108.149225460464</v>
      </c>
      <c r="G43" s="86">
        <f>IF(AND(Diskonteringsverktyg!$D$33="Ja",Diskonteringsverktyg!$D$34="Ja"),$D43*$E43*Diskonteringsverktyg!$D$31*Diskonteringsverktyg!$D$32,IF(AND(Diskonteringsverktyg!$D$33="Ja",Diskonteringsverktyg!$D$34="Nej"),$E43*Diskonteringsverktyg!$D$31*Diskonteringsverktyg!$D$32,IF(AND(Diskonteringsverktyg!$D$33="Nej",Diskonteringsverktyg!$D$34="Ja"),$D43*Diskonteringsverktyg!$D$31*Diskonteringsverktyg!$D$32,Diskonteringsverktyg!$D$31*Diskonteringsverktyg!$D$32)))</f>
        <v>0</v>
      </c>
      <c r="H43" s="86">
        <f>IF(AND(Diskonteringsverktyg!$D$37="Ja",Diskonteringsverktyg!$D$38="Ja"),$D43*$E43*Diskonteringsverktyg!$D$35*Diskonteringsverktyg!$D$36,IF(AND(Diskonteringsverktyg!$D$37="Ja",Diskonteringsverktyg!$D$38="Nej"),$E43*Diskonteringsverktyg!$D$35*Diskonteringsverktyg!$D$36,IF(AND(Diskonteringsverktyg!$D$37="Nej",Diskonteringsverktyg!$D$38="Ja"),$D43*Diskonteringsverktyg!$D$35*Diskonteringsverktyg!$D$36,Diskonteringsverktyg!$D$35*Diskonteringsverktyg!$D$36)))</f>
        <v>0</v>
      </c>
      <c r="I43" s="86">
        <f>IF(AND(Diskonteringsverktyg!$D$41="Ja",Diskonteringsverktyg!$D$42="Ja"),$D43*$E43*Diskonteringsverktyg!$D$39*Diskonteringsverktyg!$D$40,IF(AND(Diskonteringsverktyg!$D$41="Ja",Diskonteringsverktyg!$D$42="Nej"),$E43*Diskonteringsverktyg!$D$39*Diskonteringsverktyg!$D$40,IF(AND(Diskonteringsverktyg!$D$41="Nej",Diskonteringsverktyg!$D$42="Ja"),$D43*Diskonteringsverktyg!$D$39*Diskonteringsverktyg!$D$40,Diskonteringsverktyg!$D$39*Diskonteringsverktyg!$D$40)))</f>
        <v>0</v>
      </c>
      <c r="J43" s="86">
        <f>IF(AND(Diskonteringsverktyg!$D$45="Ja",Diskonteringsverktyg!$D$46="Ja"),$D43*$E43*Diskonteringsverktyg!$D$43*Diskonteringsverktyg!$D$44,IF(AND(Diskonteringsverktyg!$D$45="Ja",Diskonteringsverktyg!$D$46="Nej"),$E43*Diskonteringsverktyg!$D$43*Diskonteringsverktyg!$D$44,IF(AND(Diskonteringsverktyg!$D$45="Nej",Diskonteringsverktyg!$D$46="Ja"),$D43*Diskonteringsverktyg!$D$43*Diskonteringsverktyg!$D$44,Diskonteringsverktyg!$D$43*Diskonteringsverktyg!$D$44)))</f>
        <v>0</v>
      </c>
      <c r="K43" s="86">
        <f t="shared" si="0"/>
        <v>12108.149225460464</v>
      </c>
      <c r="L43" s="86">
        <f t="shared" si="1"/>
        <v>3390.6645243922567</v>
      </c>
      <c r="M43" s="86">
        <f>IF((B43&lt;=Diskonteringsverktyg!$D$16),Diskonteringsverktyg!$D$50*Diskonteringsverktyg!$D$14^(B43-Diskonteringsverktyg!$D$11),M42)</f>
        <v>2481.1008426959897</v>
      </c>
      <c r="N43" s="86">
        <f t="shared" si="2"/>
        <v>694.78666409887273</v>
      </c>
      <c r="O43" s="87"/>
    </row>
    <row r="44" spans="1:15" x14ac:dyDescent="0.2">
      <c r="A44" s="97">
        <v>38</v>
      </c>
      <c r="B44" s="88">
        <f>Diskonteringsverktyg!$D$12+A44</f>
        <v>2066</v>
      </c>
      <c r="C44" s="22">
        <f>1/(Diskonteringsverktyg!$D$9)^(B44-Diskonteringsverktyg!$D$10)</f>
        <v>0.27056194224174673</v>
      </c>
      <c r="D44" s="21">
        <f>IF(B44&lt;=Diskonteringsverktyg!$D$15,Diskonteringsverktyg!$D$21^(B44-Diskonteringsverktyg!$D$24),IF(AND(B44&gt;Diskonteringsverktyg!$D$15,B44&lt;=Diskonteringsverktyg!$D$16),Diskonteringsverktyg!$D$21^(Diskonteringsverktyg!$D$15-Diskonteringsverktyg!$D$24)*Diskonteringsverktyg!$D$22^(B44-Diskonteringsverktyg!$D$15),D43))</f>
        <v>1.4311229737306663</v>
      </c>
      <c r="E44" s="21">
        <f>IF(B44&lt;=Diskonteringsverktyg!$D$16,(Diskonteringsverktyg!$D$13)^(B44-Diskonteringsverktyg!$D$23),E43)</f>
        <v>1.6921186295957242</v>
      </c>
      <c r="F44" s="23">
        <f>IF(AND(Diskonteringsverktyg!$D$29="Ja",Diskonteringsverktyg!$D$30="Ja"),$D44*$E44*Diskonteringsverktyg!$D$27*Diskonteringsverktyg!$D$28,IF(AND(Diskonteringsverktyg!$D$29="Ja",Diskonteringsverktyg!$D$30="Nej"),$E44*Diskonteringsverktyg!$D$27*Diskonteringsverktyg!$D$28,IF(AND(Diskonteringsverktyg!$D$29="Nej",Diskonteringsverktyg!$D$30="Ja"),$D44*Diskonteringsverktyg!$D$27*Diskonteringsverktyg!$D$28,Diskonteringsverktyg!$D$27*Diskonteringsverktyg!$D$28)))</f>
        <v>12108.149225460464</v>
      </c>
      <c r="G44" s="23">
        <f>IF(AND(Diskonteringsverktyg!$D$33="Ja",Diskonteringsverktyg!$D$34="Ja"),$D44*$E44*Diskonteringsverktyg!$D$31*Diskonteringsverktyg!$D$32,IF(AND(Diskonteringsverktyg!$D$33="Ja",Diskonteringsverktyg!$D$34="Nej"),$E44*Diskonteringsverktyg!$D$31*Diskonteringsverktyg!$D$32,IF(AND(Diskonteringsverktyg!$D$33="Nej",Diskonteringsverktyg!$D$34="Ja"),$D44*Diskonteringsverktyg!$D$31*Diskonteringsverktyg!$D$32,Diskonteringsverktyg!$D$31*Diskonteringsverktyg!$D$32)))</f>
        <v>0</v>
      </c>
      <c r="H44" s="23">
        <f>IF(AND(Diskonteringsverktyg!$D$37="Ja",Diskonteringsverktyg!$D$38="Ja"),$D44*$E44*Diskonteringsverktyg!$D$35*Diskonteringsverktyg!$D$36,IF(AND(Diskonteringsverktyg!$D$37="Ja",Diskonteringsverktyg!$D$38="Nej"),$E44*Diskonteringsverktyg!$D$35*Diskonteringsverktyg!$D$36,IF(AND(Diskonteringsverktyg!$D$37="Nej",Diskonteringsverktyg!$D$38="Ja"),$D44*Diskonteringsverktyg!$D$35*Diskonteringsverktyg!$D$36,Diskonteringsverktyg!$D$35*Diskonteringsverktyg!$D$36)))</f>
        <v>0</v>
      </c>
      <c r="I44" s="23">
        <f>IF(AND(Diskonteringsverktyg!$D$41="Ja",Diskonteringsverktyg!$D$42="Ja"),$D44*$E44*Diskonteringsverktyg!$D$39*Diskonteringsverktyg!$D$40,IF(AND(Diskonteringsverktyg!$D$41="Ja",Diskonteringsverktyg!$D$42="Nej"),$E44*Diskonteringsverktyg!$D$39*Diskonteringsverktyg!$D$40,IF(AND(Diskonteringsverktyg!$D$41="Nej",Diskonteringsverktyg!$D$42="Ja"),$D44*Diskonteringsverktyg!$D$39*Diskonteringsverktyg!$D$40,Diskonteringsverktyg!$D$39*Diskonteringsverktyg!$D$40)))</f>
        <v>0</v>
      </c>
      <c r="J44" s="23">
        <f>IF(AND(Diskonteringsverktyg!$D$45="Ja",Diskonteringsverktyg!$D$46="Ja"),$D44*$E44*Diskonteringsverktyg!$D$43*Diskonteringsverktyg!$D$44,IF(AND(Diskonteringsverktyg!$D$45="Ja",Diskonteringsverktyg!$D$46="Nej"),$E44*Diskonteringsverktyg!$D$43*Diskonteringsverktyg!$D$44,IF(AND(Diskonteringsverktyg!$D$45="Nej",Diskonteringsverktyg!$D$46="Ja"),$D44*Diskonteringsverktyg!$D$43*Diskonteringsverktyg!$D$44,Diskonteringsverktyg!$D$43*Diskonteringsverktyg!$D$44)))</f>
        <v>0</v>
      </c>
      <c r="K44" s="23">
        <f t="shared" si="0"/>
        <v>12108.149225460464</v>
      </c>
      <c r="L44" s="23">
        <f t="shared" si="1"/>
        <v>3276.0043713934842</v>
      </c>
      <c r="M44" s="23">
        <f>IF((B44&lt;=Diskonteringsverktyg!$D$16),Diskonteringsverktyg!$D$50*Diskonteringsverktyg!$D$14^(B44-Diskonteringsverktyg!$D$11),M43)</f>
        <v>2481.1008426959897</v>
      </c>
      <c r="N44" s="23">
        <f t="shared" si="2"/>
        <v>671.29146289746154</v>
      </c>
      <c r="O44" s="30"/>
    </row>
    <row r="45" spans="1:15" x14ac:dyDescent="0.2">
      <c r="A45" s="97">
        <v>39</v>
      </c>
      <c r="B45" s="88">
        <f>Diskonteringsverktyg!$D$12+A45</f>
        <v>2067</v>
      </c>
      <c r="C45" s="22">
        <f>1/(Diskonteringsverktyg!$D$9)^(B45-Diskonteringsverktyg!$D$10)</f>
        <v>0.26141250458139786</v>
      </c>
      <c r="D45" s="21">
        <f>IF(B45&lt;=Diskonteringsverktyg!$D$15,Diskonteringsverktyg!$D$21^(B45-Diskonteringsverktyg!$D$24),IF(AND(B45&gt;Diskonteringsverktyg!$D$15,B45&lt;=Diskonteringsverktyg!$D$16),Diskonteringsverktyg!$D$21^(Diskonteringsverktyg!$D$15-Diskonteringsverktyg!$D$24)*Diskonteringsverktyg!$D$22^(B45-Diskonteringsverktyg!$D$15),D44))</f>
        <v>1.4311229737306663</v>
      </c>
      <c r="E45" s="21">
        <f>IF(B45&lt;=Diskonteringsverktyg!$D$16,(Diskonteringsverktyg!$D$13)^(B45-Diskonteringsverktyg!$D$23),E44)</f>
        <v>1.6921186295957242</v>
      </c>
      <c r="F45" s="23">
        <f>IF(AND(Diskonteringsverktyg!$D$29="Ja",Diskonteringsverktyg!$D$30="Ja"),$D45*$E45*Diskonteringsverktyg!$D$27*Diskonteringsverktyg!$D$28,IF(AND(Diskonteringsverktyg!$D$29="Ja",Diskonteringsverktyg!$D$30="Nej"),$E45*Diskonteringsverktyg!$D$27*Diskonteringsverktyg!$D$28,IF(AND(Diskonteringsverktyg!$D$29="Nej",Diskonteringsverktyg!$D$30="Ja"),$D45*Diskonteringsverktyg!$D$27*Diskonteringsverktyg!$D$28,Diskonteringsverktyg!$D$27*Diskonteringsverktyg!$D$28)))</f>
        <v>12108.149225460464</v>
      </c>
      <c r="G45" s="23">
        <f>IF(AND(Diskonteringsverktyg!$D$33="Ja",Diskonteringsverktyg!$D$34="Ja"),$D45*$E45*Diskonteringsverktyg!$D$31*Diskonteringsverktyg!$D$32,IF(AND(Diskonteringsverktyg!$D$33="Ja",Diskonteringsverktyg!$D$34="Nej"),$E45*Diskonteringsverktyg!$D$31*Diskonteringsverktyg!$D$32,IF(AND(Diskonteringsverktyg!$D$33="Nej",Diskonteringsverktyg!$D$34="Ja"),$D45*Diskonteringsverktyg!$D$31*Diskonteringsverktyg!$D$32,Diskonteringsverktyg!$D$31*Diskonteringsverktyg!$D$32)))</f>
        <v>0</v>
      </c>
      <c r="H45" s="23">
        <f>IF(AND(Diskonteringsverktyg!$D$37="Ja",Diskonteringsverktyg!$D$38="Ja"),$D45*$E45*Diskonteringsverktyg!$D$35*Diskonteringsverktyg!$D$36,IF(AND(Diskonteringsverktyg!$D$37="Ja",Diskonteringsverktyg!$D$38="Nej"),$E45*Diskonteringsverktyg!$D$35*Diskonteringsverktyg!$D$36,IF(AND(Diskonteringsverktyg!$D$37="Nej",Diskonteringsverktyg!$D$38="Ja"),$D45*Diskonteringsverktyg!$D$35*Diskonteringsverktyg!$D$36,Diskonteringsverktyg!$D$35*Diskonteringsverktyg!$D$36)))</f>
        <v>0</v>
      </c>
      <c r="I45" s="23">
        <f>IF(AND(Diskonteringsverktyg!$D$41="Ja",Diskonteringsverktyg!$D$42="Ja"),$D45*$E45*Diskonteringsverktyg!$D$39*Diskonteringsverktyg!$D$40,IF(AND(Diskonteringsverktyg!$D$41="Ja",Diskonteringsverktyg!$D$42="Nej"),$E45*Diskonteringsverktyg!$D$39*Diskonteringsverktyg!$D$40,IF(AND(Diskonteringsverktyg!$D$41="Nej",Diskonteringsverktyg!$D$42="Ja"),$D45*Diskonteringsverktyg!$D$39*Diskonteringsverktyg!$D$40,Diskonteringsverktyg!$D$39*Diskonteringsverktyg!$D$40)))</f>
        <v>0</v>
      </c>
      <c r="J45" s="23">
        <f>IF(AND(Diskonteringsverktyg!$D$45="Ja",Diskonteringsverktyg!$D$46="Ja"),$D45*$E45*Diskonteringsverktyg!$D$43*Diskonteringsverktyg!$D$44,IF(AND(Diskonteringsverktyg!$D$45="Ja",Diskonteringsverktyg!$D$46="Nej"),$E45*Diskonteringsverktyg!$D$43*Diskonteringsverktyg!$D$44,IF(AND(Diskonteringsverktyg!$D$45="Nej",Diskonteringsverktyg!$D$46="Ja"),$D45*Diskonteringsverktyg!$D$43*Diskonteringsverktyg!$D$44,Diskonteringsverktyg!$D$43*Diskonteringsverktyg!$D$44)))</f>
        <v>0</v>
      </c>
      <c r="K45" s="23">
        <f t="shared" si="0"/>
        <v>12108.149225460464</v>
      </c>
      <c r="L45" s="23">
        <f t="shared" si="1"/>
        <v>3165.2216148729326</v>
      </c>
      <c r="M45" s="23">
        <f>IF((B45&lt;=Diskonteringsverktyg!$D$16),Diskonteringsverktyg!$D$50*Diskonteringsverktyg!$D$14^(B45-Diskonteringsverktyg!$D$11),M44)</f>
        <v>2481.1008426959897</v>
      </c>
      <c r="N45" s="23">
        <f t="shared" si="2"/>
        <v>648.59078540817552</v>
      </c>
      <c r="O45" s="30"/>
    </row>
    <row r="46" spans="1:15" x14ac:dyDescent="0.2">
      <c r="A46" s="97">
        <v>40</v>
      </c>
      <c r="B46" s="88">
        <f>Diskonteringsverktyg!$D$12+A46</f>
        <v>2068</v>
      </c>
      <c r="C46" s="22">
        <f>1/(Diskonteringsverktyg!$D$9)^(B46-Diskonteringsverktyg!$D$10)</f>
        <v>0.25257246819458734</v>
      </c>
      <c r="D46" s="21">
        <f>IF(B46&lt;=Diskonteringsverktyg!$D$15,Diskonteringsverktyg!$D$21^(B46-Diskonteringsverktyg!$D$24),IF(AND(B46&gt;Diskonteringsverktyg!$D$15,B46&lt;=Diskonteringsverktyg!$D$16),Diskonteringsverktyg!$D$21^(Diskonteringsverktyg!$D$15-Diskonteringsverktyg!$D$24)*Diskonteringsverktyg!$D$22^(B46-Diskonteringsverktyg!$D$15),D45))</f>
        <v>1.4311229737306663</v>
      </c>
      <c r="E46" s="21">
        <f>IF(B46&lt;=Diskonteringsverktyg!$D$16,(Diskonteringsverktyg!$D$13)^(B46-Diskonteringsverktyg!$D$23),E45)</f>
        <v>1.6921186295957242</v>
      </c>
      <c r="F46" s="23">
        <f>IF(AND(Diskonteringsverktyg!$D$29="Ja",Diskonteringsverktyg!$D$30="Ja"),$D46*$E46*Diskonteringsverktyg!$D$27*Diskonteringsverktyg!$D$28,IF(AND(Diskonteringsverktyg!$D$29="Ja",Diskonteringsverktyg!$D$30="Nej"),$E46*Diskonteringsverktyg!$D$27*Diskonteringsverktyg!$D$28,IF(AND(Diskonteringsverktyg!$D$29="Nej",Diskonteringsverktyg!$D$30="Ja"),$D46*Diskonteringsverktyg!$D$27*Diskonteringsverktyg!$D$28,Diskonteringsverktyg!$D$27*Diskonteringsverktyg!$D$28)))</f>
        <v>12108.149225460464</v>
      </c>
      <c r="G46" s="23">
        <f>IF(AND(Diskonteringsverktyg!$D$33="Ja",Diskonteringsverktyg!$D$34="Ja"),$D46*$E46*Diskonteringsverktyg!$D$31*Diskonteringsverktyg!$D$32,IF(AND(Diskonteringsverktyg!$D$33="Ja",Diskonteringsverktyg!$D$34="Nej"),$E46*Diskonteringsverktyg!$D$31*Diskonteringsverktyg!$D$32,IF(AND(Diskonteringsverktyg!$D$33="Nej",Diskonteringsverktyg!$D$34="Ja"),$D46*Diskonteringsverktyg!$D$31*Diskonteringsverktyg!$D$32,Diskonteringsverktyg!$D$31*Diskonteringsverktyg!$D$32)))</f>
        <v>0</v>
      </c>
      <c r="H46" s="23">
        <f>IF(AND(Diskonteringsverktyg!$D$37="Ja",Diskonteringsverktyg!$D$38="Ja"),$D46*$E46*Diskonteringsverktyg!$D$35*Diskonteringsverktyg!$D$36,IF(AND(Diskonteringsverktyg!$D$37="Ja",Diskonteringsverktyg!$D$38="Nej"),$E46*Diskonteringsverktyg!$D$35*Diskonteringsverktyg!$D$36,IF(AND(Diskonteringsverktyg!$D$37="Nej",Diskonteringsverktyg!$D$38="Ja"),$D46*Diskonteringsverktyg!$D$35*Diskonteringsverktyg!$D$36,Diskonteringsverktyg!$D$35*Diskonteringsverktyg!$D$36)))</f>
        <v>0</v>
      </c>
      <c r="I46" s="23">
        <f>IF(AND(Diskonteringsverktyg!$D$41="Ja",Diskonteringsverktyg!$D$42="Ja"),$D46*$E46*Diskonteringsverktyg!$D$39*Diskonteringsverktyg!$D$40,IF(AND(Diskonteringsverktyg!$D$41="Ja",Diskonteringsverktyg!$D$42="Nej"),$E46*Diskonteringsverktyg!$D$39*Diskonteringsverktyg!$D$40,IF(AND(Diskonteringsverktyg!$D$41="Nej",Diskonteringsverktyg!$D$42="Ja"),$D46*Diskonteringsverktyg!$D$39*Diskonteringsverktyg!$D$40,Diskonteringsverktyg!$D$39*Diskonteringsverktyg!$D$40)))</f>
        <v>0</v>
      </c>
      <c r="J46" s="23">
        <f>IF(AND(Diskonteringsverktyg!$D$45="Ja",Diskonteringsverktyg!$D$46="Ja"),$D46*$E46*Diskonteringsverktyg!$D$43*Diskonteringsverktyg!$D$44,IF(AND(Diskonteringsverktyg!$D$45="Ja",Diskonteringsverktyg!$D$46="Nej"),$E46*Diskonteringsverktyg!$D$43*Diskonteringsverktyg!$D$44,IF(AND(Diskonteringsverktyg!$D$45="Nej",Diskonteringsverktyg!$D$46="Ja"),$D46*Diskonteringsverktyg!$D$43*Diskonteringsverktyg!$D$44,Diskonteringsverktyg!$D$43*Diskonteringsverktyg!$D$44)))</f>
        <v>0</v>
      </c>
      <c r="K46" s="23">
        <f t="shared" si="0"/>
        <v>12108.149225460464</v>
      </c>
      <c r="L46" s="23">
        <f t="shared" si="1"/>
        <v>3058.1851351429304</v>
      </c>
      <c r="M46" s="23">
        <f>IF((B46&lt;=Diskonteringsverktyg!$D$16),Diskonteringsverktyg!$D$50*Diskonteringsverktyg!$D$14^(B46-Diskonteringsverktyg!$D$11),M45)</f>
        <v>2481.1008426959897</v>
      </c>
      <c r="N46" s="23">
        <f t="shared" si="2"/>
        <v>626.65776367939668</v>
      </c>
      <c r="O46" s="30"/>
    </row>
    <row r="47" spans="1:15" x14ac:dyDescent="0.2">
      <c r="A47" s="97">
        <v>41</v>
      </c>
      <c r="B47" s="88">
        <f>Diskonteringsverktyg!$D$12+A47</f>
        <v>2069</v>
      </c>
      <c r="C47" s="22">
        <f>1/(Diskonteringsverktyg!$D$9)^(B47-Diskonteringsverktyg!$D$10)</f>
        <v>0.24403137023631633</v>
      </c>
      <c r="D47" s="21">
        <f>IF(B47&lt;=Diskonteringsverktyg!$D$15,Diskonteringsverktyg!$D$21^(B47-Diskonteringsverktyg!$D$24),IF(AND(B47&gt;Diskonteringsverktyg!$D$15,B47&lt;=Diskonteringsverktyg!$D$16),Diskonteringsverktyg!$D$21^(Diskonteringsverktyg!$D$15-Diskonteringsverktyg!$D$24)*Diskonteringsverktyg!$D$22^(B47-Diskonteringsverktyg!$D$15),D46))</f>
        <v>1.4311229737306663</v>
      </c>
      <c r="E47" s="21">
        <f>IF(B47&lt;=Diskonteringsverktyg!$D$16,(Diskonteringsverktyg!$D$13)^(B47-Diskonteringsverktyg!$D$23),E46)</f>
        <v>1.6921186295957242</v>
      </c>
      <c r="F47" s="23">
        <f>IF(AND(Diskonteringsverktyg!$D$29="Ja",Diskonteringsverktyg!$D$30="Ja"),$D47*$E47*Diskonteringsverktyg!$D$27*Diskonteringsverktyg!$D$28,IF(AND(Diskonteringsverktyg!$D$29="Ja",Diskonteringsverktyg!$D$30="Nej"),$E47*Diskonteringsverktyg!$D$27*Diskonteringsverktyg!$D$28,IF(AND(Diskonteringsverktyg!$D$29="Nej",Diskonteringsverktyg!$D$30="Ja"),$D47*Diskonteringsverktyg!$D$27*Diskonteringsverktyg!$D$28,Diskonteringsverktyg!$D$27*Diskonteringsverktyg!$D$28)))</f>
        <v>12108.149225460464</v>
      </c>
      <c r="G47" s="23">
        <f>IF(AND(Diskonteringsverktyg!$D$33="Ja",Diskonteringsverktyg!$D$34="Ja"),$D47*$E47*Diskonteringsverktyg!$D$31*Diskonteringsverktyg!$D$32,IF(AND(Diskonteringsverktyg!$D$33="Ja",Diskonteringsverktyg!$D$34="Nej"),$E47*Diskonteringsverktyg!$D$31*Diskonteringsverktyg!$D$32,IF(AND(Diskonteringsverktyg!$D$33="Nej",Diskonteringsverktyg!$D$34="Ja"),$D47*Diskonteringsverktyg!$D$31*Diskonteringsverktyg!$D$32,Diskonteringsverktyg!$D$31*Diskonteringsverktyg!$D$32)))</f>
        <v>0</v>
      </c>
      <c r="H47" s="23">
        <f>IF(AND(Diskonteringsverktyg!$D$37="Ja",Diskonteringsverktyg!$D$38="Ja"),$D47*$E47*Diskonteringsverktyg!$D$35*Diskonteringsverktyg!$D$36,IF(AND(Diskonteringsverktyg!$D$37="Ja",Diskonteringsverktyg!$D$38="Nej"),$E47*Diskonteringsverktyg!$D$35*Diskonteringsverktyg!$D$36,IF(AND(Diskonteringsverktyg!$D$37="Nej",Diskonteringsverktyg!$D$38="Ja"),$D47*Diskonteringsverktyg!$D$35*Diskonteringsverktyg!$D$36,Diskonteringsverktyg!$D$35*Diskonteringsverktyg!$D$36)))</f>
        <v>0</v>
      </c>
      <c r="I47" s="23">
        <f>IF(AND(Diskonteringsverktyg!$D$41="Ja",Diskonteringsverktyg!$D$42="Ja"),$D47*$E47*Diskonteringsverktyg!$D$39*Diskonteringsverktyg!$D$40,IF(AND(Diskonteringsverktyg!$D$41="Ja",Diskonteringsverktyg!$D$42="Nej"),$E47*Diskonteringsverktyg!$D$39*Diskonteringsverktyg!$D$40,IF(AND(Diskonteringsverktyg!$D$41="Nej",Diskonteringsverktyg!$D$42="Ja"),$D47*Diskonteringsverktyg!$D$39*Diskonteringsverktyg!$D$40,Diskonteringsverktyg!$D$39*Diskonteringsverktyg!$D$40)))</f>
        <v>0</v>
      </c>
      <c r="J47" s="23">
        <f>IF(AND(Diskonteringsverktyg!$D$45="Ja",Diskonteringsverktyg!$D$46="Ja"),$D47*$E47*Diskonteringsverktyg!$D$43*Diskonteringsverktyg!$D$44,IF(AND(Diskonteringsverktyg!$D$45="Ja",Diskonteringsverktyg!$D$46="Nej"),$E47*Diskonteringsverktyg!$D$43*Diskonteringsverktyg!$D$44,IF(AND(Diskonteringsverktyg!$D$45="Nej",Diskonteringsverktyg!$D$46="Ja"),$D47*Diskonteringsverktyg!$D$43*Diskonteringsverktyg!$D$44,Diskonteringsverktyg!$D$43*Diskonteringsverktyg!$D$44)))</f>
        <v>0</v>
      </c>
      <c r="K47" s="23">
        <f t="shared" si="0"/>
        <v>12108.149225460464</v>
      </c>
      <c r="L47" s="23">
        <f t="shared" si="1"/>
        <v>2954.7682465149092</v>
      </c>
      <c r="M47" s="23">
        <f>IF((B47&lt;=Diskonteringsverktyg!$D$16),Diskonteringsverktyg!$D$50*Diskonteringsverktyg!$D$14^(B47-Diskonteringsverktyg!$D$11),M46)</f>
        <v>2481.1008426959897</v>
      </c>
      <c r="N47" s="23">
        <f t="shared" si="2"/>
        <v>605.46643833758151</v>
      </c>
      <c r="O47" s="30"/>
    </row>
    <row r="48" spans="1:15" x14ac:dyDescent="0.2">
      <c r="A48" s="97">
        <v>42</v>
      </c>
      <c r="B48" s="88">
        <f>Diskonteringsverktyg!$D$12+A48</f>
        <v>2070</v>
      </c>
      <c r="C48" s="22">
        <f>1/(Diskonteringsverktyg!$D$9)^(B48-Diskonteringsverktyg!$D$10)</f>
        <v>0.2357791016776003</v>
      </c>
      <c r="D48" s="21">
        <f>IF(B48&lt;=Diskonteringsverktyg!$D$15,Diskonteringsverktyg!$D$21^(B48-Diskonteringsverktyg!$D$24),IF(AND(B48&gt;Diskonteringsverktyg!$D$15,B48&lt;=Diskonteringsverktyg!$D$16),Diskonteringsverktyg!$D$21^(Diskonteringsverktyg!$D$15-Diskonteringsverktyg!$D$24)*Diskonteringsverktyg!$D$22^(B48-Diskonteringsverktyg!$D$15),D47))</f>
        <v>1.4311229737306663</v>
      </c>
      <c r="E48" s="21">
        <f>IF(B48&lt;=Diskonteringsverktyg!$D$16,(Diskonteringsverktyg!$D$13)^(B48-Diskonteringsverktyg!$D$23),E47)</f>
        <v>1.6921186295957242</v>
      </c>
      <c r="F48" s="23">
        <f>IF(AND(Diskonteringsverktyg!$D$29="Ja",Diskonteringsverktyg!$D$30="Ja"),$D48*$E48*Diskonteringsverktyg!$D$27*Diskonteringsverktyg!$D$28,IF(AND(Diskonteringsverktyg!$D$29="Ja",Diskonteringsverktyg!$D$30="Nej"),$E48*Diskonteringsverktyg!$D$27*Diskonteringsverktyg!$D$28,IF(AND(Diskonteringsverktyg!$D$29="Nej",Diskonteringsverktyg!$D$30="Ja"),$D48*Diskonteringsverktyg!$D$27*Diskonteringsverktyg!$D$28,Diskonteringsverktyg!$D$27*Diskonteringsverktyg!$D$28)))</f>
        <v>12108.149225460464</v>
      </c>
      <c r="G48" s="23">
        <f>IF(AND(Diskonteringsverktyg!$D$33="Ja",Diskonteringsverktyg!$D$34="Ja"),$D48*$E48*Diskonteringsverktyg!$D$31*Diskonteringsverktyg!$D$32,IF(AND(Diskonteringsverktyg!$D$33="Ja",Diskonteringsverktyg!$D$34="Nej"),$E48*Diskonteringsverktyg!$D$31*Diskonteringsverktyg!$D$32,IF(AND(Diskonteringsverktyg!$D$33="Nej",Diskonteringsverktyg!$D$34="Ja"),$D48*Diskonteringsverktyg!$D$31*Diskonteringsverktyg!$D$32,Diskonteringsverktyg!$D$31*Diskonteringsverktyg!$D$32)))</f>
        <v>0</v>
      </c>
      <c r="H48" s="23">
        <f>IF(AND(Diskonteringsverktyg!$D$37="Ja",Diskonteringsverktyg!$D$38="Ja"),$D48*$E48*Diskonteringsverktyg!$D$35*Diskonteringsverktyg!$D$36,IF(AND(Diskonteringsverktyg!$D$37="Ja",Diskonteringsverktyg!$D$38="Nej"),$E48*Diskonteringsverktyg!$D$35*Diskonteringsverktyg!$D$36,IF(AND(Diskonteringsverktyg!$D$37="Nej",Diskonteringsverktyg!$D$38="Ja"),$D48*Diskonteringsverktyg!$D$35*Diskonteringsverktyg!$D$36,Diskonteringsverktyg!$D$35*Diskonteringsverktyg!$D$36)))</f>
        <v>0</v>
      </c>
      <c r="I48" s="23">
        <f>IF(AND(Diskonteringsverktyg!$D$41="Ja",Diskonteringsverktyg!$D$42="Ja"),$D48*$E48*Diskonteringsverktyg!$D$39*Diskonteringsverktyg!$D$40,IF(AND(Diskonteringsverktyg!$D$41="Ja",Diskonteringsverktyg!$D$42="Nej"),$E48*Diskonteringsverktyg!$D$39*Diskonteringsverktyg!$D$40,IF(AND(Diskonteringsverktyg!$D$41="Nej",Diskonteringsverktyg!$D$42="Ja"),$D48*Diskonteringsverktyg!$D$39*Diskonteringsverktyg!$D$40,Diskonteringsverktyg!$D$39*Diskonteringsverktyg!$D$40)))</f>
        <v>0</v>
      </c>
      <c r="J48" s="23">
        <f>IF(AND(Diskonteringsverktyg!$D$45="Ja",Diskonteringsverktyg!$D$46="Ja"),$D48*$E48*Diskonteringsverktyg!$D$43*Diskonteringsverktyg!$D$44,IF(AND(Diskonteringsverktyg!$D$45="Ja",Diskonteringsverktyg!$D$46="Nej"),$E48*Diskonteringsverktyg!$D$43*Diskonteringsverktyg!$D$44,IF(AND(Diskonteringsverktyg!$D$45="Nej",Diskonteringsverktyg!$D$46="Ja"),$D48*Diskonteringsverktyg!$D$43*Diskonteringsverktyg!$D$44,Diskonteringsverktyg!$D$43*Diskonteringsverktyg!$D$44)))</f>
        <v>0</v>
      </c>
      <c r="K48" s="23">
        <f t="shared" si="0"/>
        <v>12108.149225460464</v>
      </c>
      <c r="L48" s="23">
        <f t="shared" si="1"/>
        <v>2854.8485473574001</v>
      </c>
      <c r="M48" s="23">
        <f>IF((B48&lt;=Diskonteringsverktyg!$D$16),Diskonteringsverktyg!$D$50*Diskonteringsverktyg!$D$14^(B48-Diskonteringsverktyg!$D$11),M47)</f>
        <v>2481.1008426959897</v>
      </c>
      <c r="N48" s="23">
        <f t="shared" si="2"/>
        <v>584.99172786239751</v>
      </c>
      <c r="O48" s="30"/>
    </row>
    <row r="49" spans="1:15" x14ac:dyDescent="0.2">
      <c r="A49" s="97">
        <v>43</v>
      </c>
      <c r="B49" s="88">
        <f>Diskonteringsverktyg!$D$12+A49</f>
        <v>2071</v>
      </c>
      <c r="C49" s="22">
        <f>1/(Diskonteringsverktyg!$D$9)^(B49-Diskonteringsverktyg!$D$10)</f>
        <v>0.22780589534067661</v>
      </c>
      <c r="D49" s="21">
        <f>IF(B49&lt;=Diskonteringsverktyg!$D$15,Diskonteringsverktyg!$D$21^(B49-Diskonteringsverktyg!$D$24),IF(AND(B49&gt;Diskonteringsverktyg!$D$15,B49&lt;=Diskonteringsverktyg!$D$16),Diskonteringsverktyg!$D$21^(Diskonteringsverktyg!$D$15-Diskonteringsverktyg!$D$24)*Diskonteringsverktyg!$D$22^(B49-Diskonteringsverktyg!$D$15),D48))</f>
        <v>1.4311229737306663</v>
      </c>
      <c r="E49" s="21">
        <f>IF(B49&lt;=Diskonteringsverktyg!$D$16,(Diskonteringsverktyg!$D$13)^(B49-Diskonteringsverktyg!$D$23),E48)</f>
        <v>1.6921186295957242</v>
      </c>
      <c r="F49" s="23">
        <f>IF(AND(Diskonteringsverktyg!$D$29="Ja",Diskonteringsverktyg!$D$30="Ja"),$D49*$E49*Diskonteringsverktyg!$D$27*Diskonteringsverktyg!$D$28,IF(AND(Diskonteringsverktyg!$D$29="Ja",Diskonteringsverktyg!$D$30="Nej"),$E49*Diskonteringsverktyg!$D$27*Diskonteringsverktyg!$D$28,IF(AND(Diskonteringsverktyg!$D$29="Nej",Diskonteringsverktyg!$D$30="Ja"),$D49*Diskonteringsverktyg!$D$27*Diskonteringsverktyg!$D$28,Diskonteringsverktyg!$D$27*Diskonteringsverktyg!$D$28)))</f>
        <v>12108.149225460464</v>
      </c>
      <c r="G49" s="23">
        <f>IF(AND(Diskonteringsverktyg!$D$33="Ja",Diskonteringsverktyg!$D$34="Ja"),$D49*$E49*Diskonteringsverktyg!$D$31*Diskonteringsverktyg!$D$32,IF(AND(Diskonteringsverktyg!$D$33="Ja",Diskonteringsverktyg!$D$34="Nej"),$E49*Diskonteringsverktyg!$D$31*Diskonteringsverktyg!$D$32,IF(AND(Diskonteringsverktyg!$D$33="Nej",Diskonteringsverktyg!$D$34="Ja"),$D49*Diskonteringsverktyg!$D$31*Diskonteringsverktyg!$D$32,Diskonteringsverktyg!$D$31*Diskonteringsverktyg!$D$32)))</f>
        <v>0</v>
      </c>
      <c r="H49" s="23">
        <f>IF(AND(Diskonteringsverktyg!$D$37="Ja",Diskonteringsverktyg!$D$38="Ja"),$D49*$E49*Diskonteringsverktyg!$D$35*Diskonteringsverktyg!$D$36,IF(AND(Diskonteringsverktyg!$D$37="Ja",Diskonteringsverktyg!$D$38="Nej"),$E49*Diskonteringsverktyg!$D$35*Diskonteringsverktyg!$D$36,IF(AND(Diskonteringsverktyg!$D$37="Nej",Diskonteringsverktyg!$D$38="Ja"),$D49*Diskonteringsverktyg!$D$35*Diskonteringsverktyg!$D$36,Diskonteringsverktyg!$D$35*Diskonteringsverktyg!$D$36)))</f>
        <v>0</v>
      </c>
      <c r="I49" s="23">
        <f>IF(AND(Diskonteringsverktyg!$D$41="Ja",Diskonteringsverktyg!$D$42="Ja"),$D49*$E49*Diskonteringsverktyg!$D$39*Diskonteringsverktyg!$D$40,IF(AND(Diskonteringsverktyg!$D$41="Ja",Diskonteringsverktyg!$D$42="Nej"),$E49*Diskonteringsverktyg!$D$39*Diskonteringsverktyg!$D$40,IF(AND(Diskonteringsverktyg!$D$41="Nej",Diskonteringsverktyg!$D$42="Ja"),$D49*Diskonteringsverktyg!$D$39*Diskonteringsverktyg!$D$40,Diskonteringsverktyg!$D$39*Diskonteringsverktyg!$D$40)))</f>
        <v>0</v>
      </c>
      <c r="J49" s="23">
        <f>IF(AND(Diskonteringsverktyg!$D$45="Ja",Diskonteringsverktyg!$D$46="Ja"),$D49*$E49*Diskonteringsverktyg!$D$43*Diskonteringsverktyg!$D$44,IF(AND(Diskonteringsverktyg!$D$45="Ja",Diskonteringsverktyg!$D$46="Nej"),$E49*Diskonteringsverktyg!$D$43*Diskonteringsverktyg!$D$44,IF(AND(Diskonteringsverktyg!$D$45="Nej",Diskonteringsverktyg!$D$46="Ja"),$D49*Diskonteringsverktyg!$D$43*Diskonteringsverktyg!$D$44,Diskonteringsverktyg!$D$43*Diskonteringsverktyg!$D$44)))</f>
        <v>0</v>
      </c>
      <c r="K49" s="23">
        <f t="shared" si="0"/>
        <v>12108.149225460464</v>
      </c>
      <c r="L49" s="23">
        <f t="shared" si="1"/>
        <v>2758.3077752245408</v>
      </c>
      <c r="M49" s="23">
        <f>IF((B49&lt;=Diskonteringsverktyg!$D$16),Diskonteringsverktyg!$D$50*Diskonteringsverktyg!$D$14^(B49-Diskonteringsverktyg!$D$11),M48)</f>
        <v>2481.1008426959897</v>
      </c>
      <c r="N49" s="23">
        <f t="shared" si="2"/>
        <v>565.2093989008672</v>
      </c>
      <c r="O49" s="30"/>
    </row>
    <row r="50" spans="1:15" x14ac:dyDescent="0.2">
      <c r="A50" s="97">
        <v>44</v>
      </c>
      <c r="B50" s="88">
        <f>Diskonteringsverktyg!$D$12+A50</f>
        <v>2072</v>
      </c>
      <c r="C50" s="22">
        <f>1/(Diskonteringsverktyg!$D$9)^(B50-Diskonteringsverktyg!$D$10)</f>
        <v>0.22010231433881802</v>
      </c>
      <c r="D50" s="21">
        <f>IF(B50&lt;=Diskonteringsverktyg!$D$15,Diskonteringsverktyg!$D$21^(B50-Diskonteringsverktyg!$D$24),IF(AND(B50&gt;Diskonteringsverktyg!$D$15,B50&lt;=Diskonteringsverktyg!$D$16),Diskonteringsverktyg!$D$21^(Diskonteringsverktyg!$D$15-Diskonteringsverktyg!$D$24)*Diskonteringsverktyg!$D$22^(B50-Diskonteringsverktyg!$D$15),D49))</f>
        <v>1.4311229737306663</v>
      </c>
      <c r="E50" s="21">
        <f>IF(B50&lt;=Diskonteringsverktyg!$D$16,(Diskonteringsverktyg!$D$13)^(B50-Diskonteringsverktyg!$D$23),E49)</f>
        <v>1.6921186295957242</v>
      </c>
      <c r="F50" s="23">
        <f>IF(AND(Diskonteringsverktyg!$D$29="Ja",Diskonteringsverktyg!$D$30="Ja"),$D50*$E50*Diskonteringsverktyg!$D$27*Diskonteringsverktyg!$D$28,IF(AND(Diskonteringsverktyg!$D$29="Ja",Diskonteringsverktyg!$D$30="Nej"),$E50*Diskonteringsverktyg!$D$27*Diskonteringsverktyg!$D$28,IF(AND(Diskonteringsverktyg!$D$29="Nej",Diskonteringsverktyg!$D$30="Ja"),$D50*Diskonteringsverktyg!$D$27*Diskonteringsverktyg!$D$28,Diskonteringsverktyg!$D$27*Diskonteringsverktyg!$D$28)))</f>
        <v>12108.149225460464</v>
      </c>
      <c r="G50" s="23">
        <f>IF(AND(Diskonteringsverktyg!$D$33="Ja",Diskonteringsverktyg!$D$34="Ja"),$D50*$E50*Diskonteringsverktyg!$D$31*Diskonteringsverktyg!$D$32,IF(AND(Diskonteringsverktyg!$D$33="Ja",Diskonteringsverktyg!$D$34="Nej"),$E50*Diskonteringsverktyg!$D$31*Diskonteringsverktyg!$D$32,IF(AND(Diskonteringsverktyg!$D$33="Nej",Diskonteringsverktyg!$D$34="Ja"),$D50*Diskonteringsverktyg!$D$31*Diskonteringsverktyg!$D$32,Diskonteringsverktyg!$D$31*Diskonteringsverktyg!$D$32)))</f>
        <v>0</v>
      </c>
      <c r="H50" s="23">
        <f>IF(AND(Diskonteringsverktyg!$D$37="Ja",Diskonteringsverktyg!$D$38="Ja"),$D50*$E50*Diskonteringsverktyg!$D$35*Diskonteringsverktyg!$D$36,IF(AND(Diskonteringsverktyg!$D$37="Ja",Diskonteringsverktyg!$D$38="Nej"),$E50*Diskonteringsverktyg!$D$35*Diskonteringsverktyg!$D$36,IF(AND(Diskonteringsverktyg!$D$37="Nej",Diskonteringsverktyg!$D$38="Ja"),$D50*Diskonteringsverktyg!$D$35*Diskonteringsverktyg!$D$36,Diskonteringsverktyg!$D$35*Diskonteringsverktyg!$D$36)))</f>
        <v>0</v>
      </c>
      <c r="I50" s="23">
        <f>IF(AND(Diskonteringsverktyg!$D$41="Ja",Diskonteringsverktyg!$D$42="Ja"),$D50*$E50*Diskonteringsverktyg!$D$39*Diskonteringsverktyg!$D$40,IF(AND(Diskonteringsverktyg!$D$41="Ja",Diskonteringsverktyg!$D$42="Nej"),$E50*Diskonteringsverktyg!$D$39*Diskonteringsverktyg!$D$40,IF(AND(Diskonteringsverktyg!$D$41="Nej",Diskonteringsverktyg!$D$42="Ja"),$D50*Diskonteringsverktyg!$D$39*Diskonteringsverktyg!$D$40,Diskonteringsverktyg!$D$39*Diskonteringsverktyg!$D$40)))</f>
        <v>0</v>
      </c>
      <c r="J50" s="23">
        <f>IF(AND(Diskonteringsverktyg!$D$45="Ja",Diskonteringsverktyg!$D$46="Ja"),$D50*$E50*Diskonteringsverktyg!$D$43*Diskonteringsverktyg!$D$44,IF(AND(Diskonteringsverktyg!$D$45="Ja",Diskonteringsverktyg!$D$46="Nej"),$E50*Diskonteringsverktyg!$D$43*Diskonteringsverktyg!$D$44,IF(AND(Diskonteringsverktyg!$D$45="Nej",Diskonteringsverktyg!$D$46="Ja"),$D50*Diskonteringsverktyg!$D$43*Diskonteringsverktyg!$D$44,Diskonteringsverktyg!$D$43*Diskonteringsverktyg!$D$44)))</f>
        <v>0</v>
      </c>
      <c r="K50" s="23">
        <f t="shared" si="0"/>
        <v>12108.149225460464</v>
      </c>
      <c r="L50" s="23">
        <f t="shared" si="1"/>
        <v>2665.0316668836149</v>
      </c>
      <c r="M50" s="23">
        <f>IF((B50&lt;=Diskonteringsverktyg!$D$16),Diskonteringsverktyg!$D$50*Diskonteringsverktyg!$D$14^(B50-Diskonteringsverktyg!$D$11),M49)</f>
        <v>2481.1008426959897</v>
      </c>
      <c r="N50" s="23">
        <f t="shared" si="2"/>
        <v>546.09603758537901</v>
      </c>
      <c r="O50" s="30"/>
    </row>
    <row r="51" spans="1:15" x14ac:dyDescent="0.2">
      <c r="A51" s="97">
        <v>45</v>
      </c>
      <c r="B51" s="88">
        <f>Diskonteringsverktyg!$D$12+A51</f>
        <v>2073</v>
      </c>
      <c r="C51" s="22">
        <f>1/(Diskonteringsverktyg!$D$9)^(B51-Diskonteringsverktyg!$D$10)</f>
        <v>0.21265924090707056</v>
      </c>
      <c r="D51" s="21">
        <f>IF(B51&lt;=Diskonteringsverktyg!$D$15,Diskonteringsverktyg!$D$21^(B51-Diskonteringsverktyg!$D$24),IF(AND(B51&gt;Diskonteringsverktyg!$D$15,B51&lt;=Diskonteringsverktyg!$D$16),Diskonteringsverktyg!$D$21^(Diskonteringsverktyg!$D$15-Diskonteringsverktyg!$D$24)*Diskonteringsverktyg!$D$22^(B51-Diskonteringsverktyg!$D$15),D50))</f>
        <v>1.4311229737306663</v>
      </c>
      <c r="E51" s="21">
        <f>IF(B51&lt;=Diskonteringsverktyg!$D$16,(Diskonteringsverktyg!$D$13)^(B51-Diskonteringsverktyg!$D$23),E50)</f>
        <v>1.6921186295957242</v>
      </c>
      <c r="F51" s="23">
        <f>IF(AND(Diskonteringsverktyg!$D$29="Ja",Diskonteringsverktyg!$D$30="Ja"),$D51*$E51*Diskonteringsverktyg!$D$27*Diskonteringsverktyg!$D$28,IF(AND(Diskonteringsverktyg!$D$29="Ja",Diskonteringsverktyg!$D$30="Nej"),$E51*Diskonteringsverktyg!$D$27*Diskonteringsverktyg!$D$28,IF(AND(Diskonteringsverktyg!$D$29="Nej",Diskonteringsverktyg!$D$30="Ja"),$D51*Diskonteringsverktyg!$D$27*Diskonteringsverktyg!$D$28,Diskonteringsverktyg!$D$27*Diskonteringsverktyg!$D$28)))</f>
        <v>12108.149225460464</v>
      </c>
      <c r="G51" s="23">
        <f>IF(AND(Diskonteringsverktyg!$D$33="Ja",Diskonteringsverktyg!$D$34="Ja"),$D51*$E51*Diskonteringsverktyg!$D$31*Diskonteringsverktyg!$D$32,IF(AND(Diskonteringsverktyg!$D$33="Ja",Diskonteringsverktyg!$D$34="Nej"),$E51*Diskonteringsverktyg!$D$31*Diskonteringsverktyg!$D$32,IF(AND(Diskonteringsverktyg!$D$33="Nej",Diskonteringsverktyg!$D$34="Ja"),$D51*Diskonteringsverktyg!$D$31*Diskonteringsverktyg!$D$32,Diskonteringsverktyg!$D$31*Diskonteringsverktyg!$D$32)))</f>
        <v>0</v>
      </c>
      <c r="H51" s="23">
        <f>IF(AND(Diskonteringsverktyg!$D$37="Ja",Diskonteringsverktyg!$D$38="Ja"),$D51*$E51*Diskonteringsverktyg!$D$35*Diskonteringsverktyg!$D$36,IF(AND(Diskonteringsverktyg!$D$37="Ja",Diskonteringsverktyg!$D$38="Nej"),$E51*Diskonteringsverktyg!$D$35*Diskonteringsverktyg!$D$36,IF(AND(Diskonteringsverktyg!$D$37="Nej",Diskonteringsverktyg!$D$38="Ja"),$D51*Diskonteringsverktyg!$D$35*Diskonteringsverktyg!$D$36,Diskonteringsverktyg!$D$35*Diskonteringsverktyg!$D$36)))</f>
        <v>0</v>
      </c>
      <c r="I51" s="23">
        <f>IF(AND(Diskonteringsverktyg!$D$41="Ja",Diskonteringsverktyg!$D$42="Ja"),$D51*$E51*Diskonteringsverktyg!$D$39*Diskonteringsverktyg!$D$40,IF(AND(Diskonteringsverktyg!$D$41="Ja",Diskonteringsverktyg!$D$42="Nej"),$E51*Diskonteringsverktyg!$D$39*Diskonteringsverktyg!$D$40,IF(AND(Diskonteringsverktyg!$D$41="Nej",Diskonteringsverktyg!$D$42="Ja"),$D51*Diskonteringsverktyg!$D$39*Diskonteringsverktyg!$D$40,Diskonteringsverktyg!$D$39*Diskonteringsverktyg!$D$40)))</f>
        <v>0</v>
      </c>
      <c r="J51" s="23">
        <f>IF(AND(Diskonteringsverktyg!$D$45="Ja",Diskonteringsverktyg!$D$46="Ja"),$D51*$E51*Diskonteringsverktyg!$D$43*Diskonteringsverktyg!$D$44,IF(AND(Diskonteringsverktyg!$D$45="Ja",Diskonteringsverktyg!$D$46="Nej"),$E51*Diskonteringsverktyg!$D$43*Diskonteringsverktyg!$D$44,IF(AND(Diskonteringsverktyg!$D$45="Nej",Diskonteringsverktyg!$D$46="Ja"),$D51*Diskonteringsverktyg!$D$43*Diskonteringsverktyg!$D$44,Diskonteringsverktyg!$D$43*Diskonteringsverktyg!$D$44)))</f>
        <v>0</v>
      </c>
      <c r="K51" s="23">
        <f t="shared" si="0"/>
        <v>12108.149225460464</v>
      </c>
      <c r="L51" s="23">
        <f t="shared" si="1"/>
        <v>2574.9098230759564</v>
      </c>
      <c r="M51" s="23">
        <f>IF((B51&lt;=Diskonteringsverktyg!$D$16),Diskonteringsverktyg!$D$50*Diskonteringsverktyg!$D$14^(B51-Diskonteringsverktyg!$D$11),M50)</f>
        <v>2481.1008426959897</v>
      </c>
      <c r="N51" s="23">
        <f t="shared" si="2"/>
        <v>527.62902182162225</v>
      </c>
      <c r="O51" s="30"/>
    </row>
    <row r="52" spans="1:15" x14ac:dyDescent="0.2">
      <c r="A52" s="97">
        <v>46</v>
      </c>
      <c r="B52" s="88">
        <f>Diskonteringsverktyg!$D$12+A52</f>
        <v>2074</v>
      </c>
      <c r="C52" s="22">
        <f>1/(Diskonteringsverktyg!$D$9)^(B52-Diskonteringsverktyg!$D$10)</f>
        <v>0.20546786561069619</v>
      </c>
      <c r="D52" s="21">
        <f>IF(B52&lt;=Diskonteringsverktyg!$D$15,Diskonteringsverktyg!$D$21^(B52-Diskonteringsverktyg!$D$24),IF(AND(B52&gt;Diskonteringsverktyg!$D$15,B52&lt;=Diskonteringsverktyg!$D$16),Diskonteringsverktyg!$D$21^(Diskonteringsverktyg!$D$15-Diskonteringsverktyg!$D$24)*Diskonteringsverktyg!$D$22^(B52-Diskonteringsverktyg!$D$15),D51))</f>
        <v>1.4311229737306663</v>
      </c>
      <c r="E52" s="21">
        <f>IF(B52&lt;=Diskonteringsverktyg!$D$16,(Diskonteringsverktyg!$D$13)^(B52-Diskonteringsverktyg!$D$23),E51)</f>
        <v>1.6921186295957242</v>
      </c>
      <c r="F52" s="23">
        <f>IF(AND(Diskonteringsverktyg!$D$29="Ja",Diskonteringsverktyg!$D$30="Ja"),$D52*$E52*Diskonteringsverktyg!$D$27*Diskonteringsverktyg!$D$28,IF(AND(Diskonteringsverktyg!$D$29="Ja",Diskonteringsverktyg!$D$30="Nej"),$E52*Diskonteringsverktyg!$D$27*Diskonteringsverktyg!$D$28,IF(AND(Diskonteringsverktyg!$D$29="Nej",Diskonteringsverktyg!$D$30="Ja"),$D52*Diskonteringsverktyg!$D$27*Diskonteringsverktyg!$D$28,Diskonteringsverktyg!$D$27*Diskonteringsverktyg!$D$28)))</f>
        <v>12108.149225460464</v>
      </c>
      <c r="G52" s="23">
        <f>IF(AND(Diskonteringsverktyg!$D$33="Ja",Diskonteringsverktyg!$D$34="Ja"),$D52*$E52*Diskonteringsverktyg!$D$31*Diskonteringsverktyg!$D$32,IF(AND(Diskonteringsverktyg!$D$33="Ja",Diskonteringsverktyg!$D$34="Nej"),$E52*Diskonteringsverktyg!$D$31*Diskonteringsverktyg!$D$32,IF(AND(Diskonteringsverktyg!$D$33="Nej",Diskonteringsverktyg!$D$34="Ja"),$D52*Diskonteringsverktyg!$D$31*Diskonteringsverktyg!$D$32,Diskonteringsverktyg!$D$31*Diskonteringsverktyg!$D$32)))</f>
        <v>0</v>
      </c>
      <c r="H52" s="23">
        <f>IF(AND(Diskonteringsverktyg!$D$37="Ja",Diskonteringsverktyg!$D$38="Ja"),$D52*$E52*Diskonteringsverktyg!$D$35*Diskonteringsverktyg!$D$36,IF(AND(Diskonteringsverktyg!$D$37="Ja",Diskonteringsverktyg!$D$38="Nej"),$E52*Diskonteringsverktyg!$D$35*Diskonteringsverktyg!$D$36,IF(AND(Diskonteringsverktyg!$D$37="Nej",Diskonteringsverktyg!$D$38="Ja"),$D52*Diskonteringsverktyg!$D$35*Diskonteringsverktyg!$D$36,Diskonteringsverktyg!$D$35*Diskonteringsverktyg!$D$36)))</f>
        <v>0</v>
      </c>
      <c r="I52" s="23">
        <f>IF(AND(Diskonteringsverktyg!$D$41="Ja",Diskonteringsverktyg!$D$42="Ja"),$D52*$E52*Diskonteringsverktyg!$D$39*Diskonteringsverktyg!$D$40,IF(AND(Diskonteringsverktyg!$D$41="Ja",Diskonteringsverktyg!$D$42="Nej"),$E52*Diskonteringsverktyg!$D$39*Diskonteringsverktyg!$D$40,IF(AND(Diskonteringsverktyg!$D$41="Nej",Diskonteringsverktyg!$D$42="Ja"),$D52*Diskonteringsverktyg!$D$39*Diskonteringsverktyg!$D$40,Diskonteringsverktyg!$D$39*Diskonteringsverktyg!$D$40)))</f>
        <v>0</v>
      </c>
      <c r="J52" s="23">
        <f>IF(AND(Diskonteringsverktyg!$D$45="Ja",Diskonteringsverktyg!$D$46="Ja"),$D52*$E52*Diskonteringsverktyg!$D$43*Diskonteringsverktyg!$D$44,IF(AND(Diskonteringsverktyg!$D$45="Ja",Diskonteringsverktyg!$D$46="Nej"),$E52*Diskonteringsverktyg!$D$43*Diskonteringsverktyg!$D$44,IF(AND(Diskonteringsverktyg!$D$45="Nej",Diskonteringsverktyg!$D$46="Ja"),$D52*Diskonteringsverktyg!$D$43*Diskonteringsverktyg!$D$44,Diskonteringsverktyg!$D$43*Diskonteringsverktyg!$D$44)))</f>
        <v>0</v>
      </c>
      <c r="K52" s="23">
        <f t="shared" si="0"/>
        <v>12108.149225460464</v>
      </c>
      <c r="L52" s="23">
        <f t="shared" si="1"/>
        <v>2487.8355778511655</v>
      </c>
      <c r="M52" s="23">
        <f>IF((B52&lt;=Diskonteringsverktyg!$D$16),Diskonteringsverktyg!$D$50*Diskonteringsverktyg!$D$14^(B52-Diskonteringsverktyg!$D$11),M51)</f>
        <v>2481.1008426959897</v>
      </c>
      <c r="N52" s="23">
        <f t="shared" si="2"/>
        <v>509.7864945136447</v>
      </c>
      <c r="O52" s="30"/>
    </row>
    <row r="53" spans="1:15" x14ac:dyDescent="0.2">
      <c r="A53" s="97">
        <v>47</v>
      </c>
      <c r="B53" s="88">
        <f>Diskonteringsverktyg!$D$12+A53</f>
        <v>2075</v>
      </c>
      <c r="C53" s="22">
        <f>1/(Diskonteringsverktyg!$D$9)^(B53-Diskonteringsverktyg!$D$10)</f>
        <v>0.19851967691854708</v>
      </c>
      <c r="D53" s="21">
        <f>IF(B53&lt;=Diskonteringsverktyg!$D$15,Diskonteringsverktyg!$D$21^(B53-Diskonteringsverktyg!$D$24),IF(AND(B53&gt;Diskonteringsverktyg!$D$15,B53&lt;=Diskonteringsverktyg!$D$16),Diskonteringsverktyg!$D$21^(Diskonteringsverktyg!$D$15-Diskonteringsverktyg!$D$24)*Diskonteringsverktyg!$D$22^(B53-Diskonteringsverktyg!$D$15),D52))</f>
        <v>1.4311229737306663</v>
      </c>
      <c r="E53" s="21">
        <f>IF(B53&lt;=Diskonteringsverktyg!$D$16,(Diskonteringsverktyg!$D$13)^(B53-Diskonteringsverktyg!$D$23),E52)</f>
        <v>1.6921186295957242</v>
      </c>
      <c r="F53" s="23">
        <f>IF(AND(Diskonteringsverktyg!$D$29="Ja",Diskonteringsverktyg!$D$30="Ja"),$D53*$E53*Diskonteringsverktyg!$D$27*Diskonteringsverktyg!$D$28,IF(AND(Diskonteringsverktyg!$D$29="Ja",Diskonteringsverktyg!$D$30="Nej"),$E53*Diskonteringsverktyg!$D$27*Diskonteringsverktyg!$D$28,IF(AND(Diskonteringsverktyg!$D$29="Nej",Diskonteringsverktyg!$D$30="Ja"),$D53*Diskonteringsverktyg!$D$27*Diskonteringsverktyg!$D$28,Diskonteringsverktyg!$D$27*Diskonteringsverktyg!$D$28)))</f>
        <v>12108.149225460464</v>
      </c>
      <c r="G53" s="23">
        <f>IF(AND(Diskonteringsverktyg!$D$33="Ja",Diskonteringsverktyg!$D$34="Ja"),$D53*$E53*Diskonteringsverktyg!$D$31*Diskonteringsverktyg!$D$32,IF(AND(Diskonteringsverktyg!$D$33="Ja",Diskonteringsverktyg!$D$34="Nej"),$E53*Diskonteringsverktyg!$D$31*Diskonteringsverktyg!$D$32,IF(AND(Diskonteringsverktyg!$D$33="Nej",Diskonteringsverktyg!$D$34="Ja"),$D53*Diskonteringsverktyg!$D$31*Diskonteringsverktyg!$D$32,Diskonteringsverktyg!$D$31*Diskonteringsverktyg!$D$32)))</f>
        <v>0</v>
      </c>
      <c r="H53" s="23">
        <f>IF(AND(Diskonteringsverktyg!$D$37="Ja",Diskonteringsverktyg!$D$38="Ja"),$D53*$E53*Diskonteringsverktyg!$D$35*Diskonteringsverktyg!$D$36,IF(AND(Diskonteringsverktyg!$D$37="Ja",Diskonteringsverktyg!$D$38="Nej"),$E53*Diskonteringsverktyg!$D$35*Diskonteringsverktyg!$D$36,IF(AND(Diskonteringsverktyg!$D$37="Nej",Diskonteringsverktyg!$D$38="Ja"),$D53*Diskonteringsverktyg!$D$35*Diskonteringsverktyg!$D$36,Diskonteringsverktyg!$D$35*Diskonteringsverktyg!$D$36)))</f>
        <v>0</v>
      </c>
      <c r="I53" s="23">
        <f>IF(AND(Diskonteringsverktyg!$D$41="Ja",Diskonteringsverktyg!$D$42="Ja"),$D53*$E53*Diskonteringsverktyg!$D$39*Diskonteringsverktyg!$D$40,IF(AND(Diskonteringsverktyg!$D$41="Ja",Diskonteringsverktyg!$D$42="Nej"),$E53*Diskonteringsverktyg!$D$39*Diskonteringsverktyg!$D$40,IF(AND(Diskonteringsverktyg!$D$41="Nej",Diskonteringsverktyg!$D$42="Ja"),$D53*Diskonteringsverktyg!$D$39*Diskonteringsverktyg!$D$40,Diskonteringsverktyg!$D$39*Diskonteringsverktyg!$D$40)))</f>
        <v>0</v>
      </c>
      <c r="J53" s="23">
        <f>IF(AND(Diskonteringsverktyg!$D$45="Ja",Diskonteringsverktyg!$D$46="Ja"),$D53*$E53*Diskonteringsverktyg!$D$43*Diskonteringsverktyg!$D$44,IF(AND(Diskonteringsverktyg!$D$45="Ja",Diskonteringsverktyg!$D$46="Nej"),$E53*Diskonteringsverktyg!$D$43*Diskonteringsverktyg!$D$44,IF(AND(Diskonteringsverktyg!$D$45="Nej",Diskonteringsverktyg!$D$46="Ja"),$D53*Diskonteringsverktyg!$D$43*Diskonteringsverktyg!$D$44,Diskonteringsverktyg!$D$43*Diskonteringsverktyg!$D$44)))</f>
        <v>0</v>
      </c>
      <c r="K53" s="23">
        <f t="shared" si="0"/>
        <v>12108.149225460464</v>
      </c>
      <c r="L53" s="23">
        <f t="shared" si="1"/>
        <v>2403.7058723199671</v>
      </c>
      <c r="M53" s="23">
        <f>IF((B53&lt;=Diskonteringsverktyg!$D$16),Diskonteringsverktyg!$D$50*Diskonteringsverktyg!$D$14^(B53-Diskonteringsverktyg!$D$11),M52)</f>
        <v>2481.1008426959897</v>
      </c>
      <c r="N53" s="23">
        <f t="shared" si="2"/>
        <v>492.54733769434279</v>
      </c>
      <c r="O53" s="30"/>
    </row>
    <row r="54" spans="1:15" x14ac:dyDescent="0.2">
      <c r="A54" s="97">
        <v>48</v>
      </c>
      <c r="B54" s="88">
        <f>Diskonteringsverktyg!$D$12+A54</f>
        <v>2076</v>
      </c>
      <c r="C54" s="22">
        <f>1/(Diskonteringsverktyg!$D$9)^(B54-Diskonteringsverktyg!$D$10)</f>
        <v>0.19180645112903102</v>
      </c>
      <c r="D54" s="21">
        <f>IF(B54&lt;=Diskonteringsverktyg!$D$15,Diskonteringsverktyg!$D$21^(B54-Diskonteringsverktyg!$D$24),IF(AND(B54&gt;Diskonteringsverktyg!$D$15,B54&lt;=Diskonteringsverktyg!$D$16),Diskonteringsverktyg!$D$21^(Diskonteringsverktyg!$D$15-Diskonteringsverktyg!$D$24)*Diskonteringsverktyg!$D$22^(B54-Diskonteringsverktyg!$D$15),D53))</f>
        <v>1.4311229737306663</v>
      </c>
      <c r="E54" s="21">
        <f>IF(B54&lt;=Diskonteringsverktyg!$D$16,(Diskonteringsverktyg!$D$13)^(B54-Diskonteringsverktyg!$D$23),E53)</f>
        <v>1.6921186295957242</v>
      </c>
      <c r="F54" s="23">
        <f>IF(AND(Diskonteringsverktyg!$D$29="Ja",Diskonteringsverktyg!$D$30="Ja"),$D54*$E54*Diskonteringsverktyg!$D$27*Diskonteringsverktyg!$D$28,IF(AND(Diskonteringsverktyg!$D$29="Ja",Diskonteringsverktyg!$D$30="Nej"),$E54*Diskonteringsverktyg!$D$27*Diskonteringsverktyg!$D$28,IF(AND(Diskonteringsverktyg!$D$29="Nej",Diskonteringsverktyg!$D$30="Ja"),$D54*Diskonteringsverktyg!$D$27*Diskonteringsverktyg!$D$28,Diskonteringsverktyg!$D$27*Diskonteringsverktyg!$D$28)))</f>
        <v>12108.149225460464</v>
      </c>
      <c r="G54" s="23">
        <f>IF(AND(Diskonteringsverktyg!$D$33="Ja",Diskonteringsverktyg!$D$34="Ja"),$D54*$E54*Diskonteringsverktyg!$D$31*Diskonteringsverktyg!$D$32,IF(AND(Diskonteringsverktyg!$D$33="Ja",Diskonteringsverktyg!$D$34="Nej"),$E54*Diskonteringsverktyg!$D$31*Diskonteringsverktyg!$D$32,IF(AND(Diskonteringsverktyg!$D$33="Nej",Diskonteringsverktyg!$D$34="Ja"),$D54*Diskonteringsverktyg!$D$31*Diskonteringsverktyg!$D$32,Diskonteringsverktyg!$D$31*Diskonteringsverktyg!$D$32)))</f>
        <v>0</v>
      </c>
      <c r="H54" s="23">
        <f>IF(AND(Diskonteringsverktyg!$D$37="Ja",Diskonteringsverktyg!$D$38="Ja"),$D54*$E54*Diskonteringsverktyg!$D$35*Diskonteringsverktyg!$D$36,IF(AND(Diskonteringsverktyg!$D$37="Ja",Diskonteringsverktyg!$D$38="Nej"),$E54*Diskonteringsverktyg!$D$35*Diskonteringsverktyg!$D$36,IF(AND(Diskonteringsverktyg!$D$37="Nej",Diskonteringsverktyg!$D$38="Ja"),$D54*Diskonteringsverktyg!$D$35*Diskonteringsverktyg!$D$36,Diskonteringsverktyg!$D$35*Diskonteringsverktyg!$D$36)))</f>
        <v>0</v>
      </c>
      <c r="I54" s="23">
        <f>IF(AND(Diskonteringsverktyg!$D$41="Ja",Diskonteringsverktyg!$D$42="Ja"),$D54*$E54*Diskonteringsverktyg!$D$39*Diskonteringsverktyg!$D$40,IF(AND(Diskonteringsverktyg!$D$41="Ja",Diskonteringsverktyg!$D$42="Nej"),$E54*Diskonteringsverktyg!$D$39*Diskonteringsverktyg!$D$40,IF(AND(Diskonteringsverktyg!$D$41="Nej",Diskonteringsverktyg!$D$42="Ja"),$D54*Diskonteringsverktyg!$D$39*Diskonteringsverktyg!$D$40,Diskonteringsverktyg!$D$39*Diskonteringsverktyg!$D$40)))</f>
        <v>0</v>
      </c>
      <c r="J54" s="23">
        <f>IF(AND(Diskonteringsverktyg!$D$45="Ja",Diskonteringsverktyg!$D$46="Ja"),$D54*$E54*Diskonteringsverktyg!$D$43*Diskonteringsverktyg!$D$44,IF(AND(Diskonteringsverktyg!$D$45="Ja",Diskonteringsverktyg!$D$46="Nej"),$E54*Diskonteringsverktyg!$D$43*Diskonteringsverktyg!$D$44,IF(AND(Diskonteringsverktyg!$D$45="Nej",Diskonteringsverktyg!$D$46="Ja"),$D54*Diskonteringsverktyg!$D$43*Diskonteringsverktyg!$D$44,Diskonteringsverktyg!$D$43*Diskonteringsverktyg!$D$44)))</f>
        <v>0</v>
      </c>
      <c r="K54" s="23">
        <f t="shared" si="0"/>
        <v>12108.149225460464</v>
      </c>
      <c r="L54" s="23">
        <f t="shared" si="1"/>
        <v>2322.4211326762975</v>
      </c>
      <c r="M54" s="23">
        <f>IF((B54&lt;=Diskonteringsverktyg!$D$16),Diskonteringsverktyg!$D$50*Diskonteringsverktyg!$D$14^(B54-Diskonteringsverktyg!$D$11),M53)</f>
        <v>2481.1008426959897</v>
      </c>
      <c r="N54" s="23">
        <f t="shared" si="2"/>
        <v>475.89114753076603</v>
      </c>
      <c r="O54" s="30"/>
    </row>
    <row r="55" spans="1:15" x14ac:dyDescent="0.2">
      <c r="A55" s="97">
        <v>49</v>
      </c>
      <c r="B55" s="88">
        <f>Diskonteringsverktyg!$D$12+A55</f>
        <v>2077</v>
      </c>
      <c r="C55" s="22">
        <f>1/(Diskonteringsverktyg!$D$9)^(B55-Diskonteringsverktyg!$D$10)</f>
        <v>0.18532024263674499</v>
      </c>
      <c r="D55" s="21">
        <f>IF(B55&lt;=Diskonteringsverktyg!$D$15,Diskonteringsverktyg!$D$21^(B55-Diskonteringsverktyg!$D$24),IF(AND(B55&gt;Diskonteringsverktyg!$D$15,B55&lt;=Diskonteringsverktyg!$D$16),Diskonteringsverktyg!$D$21^(Diskonteringsverktyg!$D$15-Diskonteringsverktyg!$D$24)*Diskonteringsverktyg!$D$22^(B55-Diskonteringsverktyg!$D$15),D54))</f>
        <v>1.4311229737306663</v>
      </c>
      <c r="E55" s="21">
        <f>IF(B55&lt;=Diskonteringsverktyg!$D$16,(Diskonteringsverktyg!$D$13)^(B55-Diskonteringsverktyg!$D$23),E54)</f>
        <v>1.6921186295957242</v>
      </c>
      <c r="F55" s="23">
        <f>IF(AND(Diskonteringsverktyg!$D$29="Ja",Diskonteringsverktyg!$D$30="Ja"),$D55*$E55*Diskonteringsverktyg!$D$27*Diskonteringsverktyg!$D$28,IF(AND(Diskonteringsverktyg!$D$29="Ja",Diskonteringsverktyg!$D$30="Nej"),$E55*Diskonteringsverktyg!$D$27*Diskonteringsverktyg!$D$28,IF(AND(Diskonteringsverktyg!$D$29="Nej",Diskonteringsverktyg!$D$30="Ja"),$D55*Diskonteringsverktyg!$D$27*Diskonteringsverktyg!$D$28,Diskonteringsverktyg!$D$27*Diskonteringsverktyg!$D$28)))</f>
        <v>12108.149225460464</v>
      </c>
      <c r="G55" s="23">
        <f>IF(AND(Diskonteringsverktyg!$D$33="Ja",Diskonteringsverktyg!$D$34="Ja"),$D55*$E55*Diskonteringsverktyg!$D$31*Diskonteringsverktyg!$D$32,IF(AND(Diskonteringsverktyg!$D$33="Ja",Diskonteringsverktyg!$D$34="Nej"),$E55*Diskonteringsverktyg!$D$31*Diskonteringsverktyg!$D$32,IF(AND(Diskonteringsverktyg!$D$33="Nej",Diskonteringsverktyg!$D$34="Ja"),$D55*Diskonteringsverktyg!$D$31*Diskonteringsverktyg!$D$32,Diskonteringsverktyg!$D$31*Diskonteringsverktyg!$D$32)))</f>
        <v>0</v>
      </c>
      <c r="H55" s="23">
        <f>IF(AND(Diskonteringsverktyg!$D$37="Ja",Diskonteringsverktyg!$D$38="Ja"),$D55*$E55*Diskonteringsverktyg!$D$35*Diskonteringsverktyg!$D$36,IF(AND(Diskonteringsverktyg!$D$37="Ja",Diskonteringsverktyg!$D$38="Nej"),$E55*Diskonteringsverktyg!$D$35*Diskonteringsverktyg!$D$36,IF(AND(Diskonteringsverktyg!$D$37="Nej",Diskonteringsverktyg!$D$38="Ja"),$D55*Diskonteringsverktyg!$D$35*Diskonteringsverktyg!$D$36,Diskonteringsverktyg!$D$35*Diskonteringsverktyg!$D$36)))</f>
        <v>0</v>
      </c>
      <c r="I55" s="23">
        <f>IF(AND(Diskonteringsverktyg!$D$41="Ja",Diskonteringsverktyg!$D$42="Ja"),$D55*$E55*Diskonteringsverktyg!$D$39*Diskonteringsverktyg!$D$40,IF(AND(Diskonteringsverktyg!$D$41="Ja",Diskonteringsverktyg!$D$42="Nej"),$E55*Diskonteringsverktyg!$D$39*Diskonteringsverktyg!$D$40,IF(AND(Diskonteringsverktyg!$D$41="Nej",Diskonteringsverktyg!$D$42="Ja"),$D55*Diskonteringsverktyg!$D$39*Diskonteringsverktyg!$D$40,Diskonteringsverktyg!$D$39*Diskonteringsverktyg!$D$40)))</f>
        <v>0</v>
      </c>
      <c r="J55" s="23">
        <f>IF(AND(Diskonteringsverktyg!$D$45="Ja",Diskonteringsverktyg!$D$46="Ja"),$D55*$E55*Diskonteringsverktyg!$D$43*Diskonteringsverktyg!$D$44,IF(AND(Diskonteringsverktyg!$D$45="Ja",Diskonteringsverktyg!$D$46="Nej"),$E55*Diskonteringsverktyg!$D$43*Diskonteringsverktyg!$D$44,IF(AND(Diskonteringsverktyg!$D$45="Nej",Diskonteringsverktyg!$D$46="Ja"),$D55*Diskonteringsverktyg!$D$43*Diskonteringsverktyg!$D$44,Diskonteringsverktyg!$D$43*Diskonteringsverktyg!$D$44)))</f>
        <v>0</v>
      </c>
      <c r="K55" s="23">
        <f t="shared" si="0"/>
        <v>12108.149225460464</v>
      </c>
      <c r="L55" s="23">
        <f t="shared" si="1"/>
        <v>2243.885152344249</v>
      </c>
      <c r="M55" s="23">
        <f>IF((B55&lt;=Diskonteringsverktyg!$D$16),Diskonteringsverktyg!$D$50*Diskonteringsverktyg!$D$14^(B55-Diskonteringsverktyg!$D$11),M54)</f>
        <v>2481.1008426959897</v>
      </c>
      <c r="N55" s="23">
        <f t="shared" si="2"/>
        <v>459.79821017465326</v>
      </c>
      <c r="O55" s="30"/>
    </row>
    <row r="56" spans="1:15" x14ac:dyDescent="0.2">
      <c r="A56" s="97">
        <v>50</v>
      </c>
      <c r="B56" s="88">
        <f>Diskonteringsverktyg!$D$12+A56</f>
        <v>2078</v>
      </c>
      <c r="C56" s="22">
        <f>1/(Diskonteringsverktyg!$D$9)^(B56-Diskonteringsverktyg!$D$10)</f>
        <v>0.17905337452825601</v>
      </c>
      <c r="D56" s="21">
        <f>IF(B56&lt;=Diskonteringsverktyg!$D$15,Diskonteringsverktyg!$D$21^(B56-Diskonteringsverktyg!$D$24),IF(AND(B56&gt;Diskonteringsverktyg!$D$15,B56&lt;=Diskonteringsverktyg!$D$16),Diskonteringsverktyg!$D$21^(Diskonteringsverktyg!$D$15-Diskonteringsverktyg!$D$24)*Diskonteringsverktyg!$D$22^(B56-Diskonteringsverktyg!$D$15),D55))</f>
        <v>1.4311229737306663</v>
      </c>
      <c r="E56" s="21">
        <f>IF(B56&lt;=Diskonteringsverktyg!$D$16,(Diskonteringsverktyg!$D$13)^(B56-Diskonteringsverktyg!$D$23),E55)</f>
        <v>1.6921186295957242</v>
      </c>
      <c r="F56" s="23">
        <f>IF(AND(Diskonteringsverktyg!$D$29="Ja",Diskonteringsverktyg!$D$30="Ja"),$D56*$E56*Diskonteringsverktyg!$D$27*Diskonteringsverktyg!$D$28,IF(AND(Diskonteringsverktyg!$D$29="Ja",Diskonteringsverktyg!$D$30="Nej"),$E56*Diskonteringsverktyg!$D$27*Diskonteringsverktyg!$D$28,IF(AND(Diskonteringsverktyg!$D$29="Nej",Diskonteringsverktyg!$D$30="Ja"),$D56*Diskonteringsverktyg!$D$27*Diskonteringsverktyg!$D$28,Diskonteringsverktyg!$D$27*Diskonteringsverktyg!$D$28)))</f>
        <v>12108.149225460464</v>
      </c>
      <c r="G56" s="23">
        <f>IF(AND(Diskonteringsverktyg!$D$33="Ja",Diskonteringsverktyg!$D$34="Ja"),$D56*$E56*Diskonteringsverktyg!$D$31*Diskonteringsverktyg!$D$32,IF(AND(Diskonteringsverktyg!$D$33="Ja",Diskonteringsverktyg!$D$34="Nej"),$E56*Diskonteringsverktyg!$D$31*Diskonteringsverktyg!$D$32,IF(AND(Diskonteringsverktyg!$D$33="Nej",Diskonteringsverktyg!$D$34="Ja"),$D56*Diskonteringsverktyg!$D$31*Diskonteringsverktyg!$D$32,Diskonteringsverktyg!$D$31*Diskonteringsverktyg!$D$32)))</f>
        <v>0</v>
      </c>
      <c r="H56" s="23">
        <f>IF(AND(Diskonteringsverktyg!$D$37="Ja",Diskonteringsverktyg!$D$38="Ja"),$D56*$E56*Diskonteringsverktyg!$D$35*Diskonteringsverktyg!$D$36,IF(AND(Diskonteringsverktyg!$D$37="Ja",Diskonteringsverktyg!$D$38="Nej"),$E56*Diskonteringsverktyg!$D$35*Diskonteringsverktyg!$D$36,IF(AND(Diskonteringsverktyg!$D$37="Nej",Diskonteringsverktyg!$D$38="Ja"),$D56*Diskonteringsverktyg!$D$35*Diskonteringsverktyg!$D$36,Diskonteringsverktyg!$D$35*Diskonteringsverktyg!$D$36)))</f>
        <v>0</v>
      </c>
      <c r="I56" s="23">
        <f>IF(AND(Diskonteringsverktyg!$D$41="Ja",Diskonteringsverktyg!$D$42="Ja"),$D56*$E56*Diskonteringsverktyg!$D$39*Diskonteringsverktyg!$D$40,IF(AND(Diskonteringsverktyg!$D$41="Ja",Diskonteringsverktyg!$D$42="Nej"),$E56*Diskonteringsverktyg!$D$39*Diskonteringsverktyg!$D$40,IF(AND(Diskonteringsverktyg!$D$41="Nej",Diskonteringsverktyg!$D$42="Ja"),$D56*Diskonteringsverktyg!$D$39*Diskonteringsverktyg!$D$40,Diskonteringsverktyg!$D$39*Diskonteringsverktyg!$D$40)))</f>
        <v>0</v>
      </c>
      <c r="J56" s="23">
        <f>IF(AND(Diskonteringsverktyg!$D$45="Ja",Diskonteringsverktyg!$D$46="Ja"),$D56*$E56*Diskonteringsverktyg!$D$43*Diskonteringsverktyg!$D$44,IF(AND(Diskonteringsverktyg!$D$45="Ja",Diskonteringsverktyg!$D$46="Nej"),$E56*Diskonteringsverktyg!$D$43*Diskonteringsverktyg!$D$44,IF(AND(Diskonteringsverktyg!$D$45="Nej",Diskonteringsverktyg!$D$46="Ja"),$D56*Diskonteringsverktyg!$D$43*Diskonteringsverktyg!$D$44,Diskonteringsverktyg!$D$43*Diskonteringsverktyg!$D$44)))</f>
        <v>0</v>
      </c>
      <c r="K56" s="23">
        <f t="shared" si="0"/>
        <v>12108.149225460464</v>
      </c>
      <c r="L56" s="23">
        <f t="shared" si="1"/>
        <v>2168.0049781103853</v>
      </c>
      <c r="M56" s="23">
        <f>IF((B56&lt;=Diskonteringsverktyg!$D$16),Diskonteringsverktyg!$D$50*Diskonteringsverktyg!$D$14^(B56-Diskonteringsverktyg!$D$11),M55)</f>
        <v>2481.1008426959897</v>
      </c>
      <c r="N56" s="23">
        <f t="shared" si="2"/>
        <v>444.24947842961666</v>
      </c>
      <c r="O56" s="30"/>
    </row>
    <row r="57" spans="1:15" x14ac:dyDescent="0.2">
      <c r="A57" s="97">
        <v>51</v>
      </c>
      <c r="B57" s="88">
        <f>Diskonteringsverktyg!$D$12+A57</f>
        <v>2079</v>
      </c>
      <c r="C57" s="22">
        <f>1/(Diskonteringsverktyg!$D$9)^(B57-Diskonteringsverktyg!$D$10)</f>
        <v>0.17299842949589955</v>
      </c>
      <c r="D57" s="21">
        <f>IF(B57&lt;=Diskonteringsverktyg!$D$15,Diskonteringsverktyg!$D$21^(B57-Diskonteringsverktyg!$D$24),IF(AND(B57&gt;Diskonteringsverktyg!$D$15,B57&lt;=Diskonteringsverktyg!$D$16),Diskonteringsverktyg!$D$21^(Diskonteringsverktyg!$D$15-Diskonteringsverktyg!$D$24)*Diskonteringsverktyg!$D$22^(B57-Diskonteringsverktyg!$D$15),D56))</f>
        <v>1.4311229737306663</v>
      </c>
      <c r="E57" s="21">
        <f>IF(B57&lt;=Diskonteringsverktyg!$D$16,(Diskonteringsverktyg!$D$13)^(B57-Diskonteringsverktyg!$D$23),E56)</f>
        <v>1.6921186295957242</v>
      </c>
      <c r="F57" s="23">
        <f>IF(AND(Diskonteringsverktyg!$D$29="Ja",Diskonteringsverktyg!$D$30="Ja"),$D57*$E57*Diskonteringsverktyg!$D$27*Diskonteringsverktyg!$D$28,IF(AND(Diskonteringsverktyg!$D$29="Ja",Diskonteringsverktyg!$D$30="Nej"),$E57*Diskonteringsverktyg!$D$27*Diskonteringsverktyg!$D$28,IF(AND(Diskonteringsverktyg!$D$29="Nej",Diskonteringsverktyg!$D$30="Ja"),$D57*Diskonteringsverktyg!$D$27*Diskonteringsverktyg!$D$28,Diskonteringsverktyg!$D$27*Diskonteringsverktyg!$D$28)))</f>
        <v>12108.149225460464</v>
      </c>
      <c r="G57" s="23">
        <f>IF(AND(Diskonteringsverktyg!$D$33="Ja",Diskonteringsverktyg!$D$34="Ja"),$D57*$E57*Diskonteringsverktyg!$D$31*Diskonteringsverktyg!$D$32,IF(AND(Diskonteringsverktyg!$D$33="Ja",Diskonteringsverktyg!$D$34="Nej"),$E57*Diskonteringsverktyg!$D$31*Diskonteringsverktyg!$D$32,IF(AND(Diskonteringsverktyg!$D$33="Nej",Diskonteringsverktyg!$D$34="Ja"),$D57*Diskonteringsverktyg!$D$31*Diskonteringsverktyg!$D$32,Diskonteringsverktyg!$D$31*Diskonteringsverktyg!$D$32)))</f>
        <v>0</v>
      </c>
      <c r="H57" s="23">
        <f>IF(AND(Diskonteringsverktyg!$D$37="Ja",Diskonteringsverktyg!$D$38="Ja"),$D57*$E57*Diskonteringsverktyg!$D$35*Diskonteringsverktyg!$D$36,IF(AND(Diskonteringsverktyg!$D$37="Ja",Diskonteringsverktyg!$D$38="Nej"),$E57*Diskonteringsverktyg!$D$35*Diskonteringsverktyg!$D$36,IF(AND(Diskonteringsverktyg!$D$37="Nej",Diskonteringsverktyg!$D$38="Ja"),$D57*Diskonteringsverktyg!$D$35*Diskonteringsverktyg!$D$36,Diskonteringsverktyg!$D$35*Diskonteringsverktyg!$D$36)))</f>
        <v>0</v>
      </c>
      <c r="I57" s="23">
        <f>IF(AND(Diskonteringsverktyg!$D$41="Ja",Diskonteringsverktyg!$D$42="Ja"),$D57*$E57*Diskonteringsverktyg!$D$39*Diskonteringsverktyg!$D$40,IF(AND(Diskonteringsverktyg!$D$41="Ja",Diskonteringsverktyg!$D$42="Nej"),$E57*Diskonteringsverktyg!$D$39*Diskonteringsverktyg!$D$40,IF(AND(Diskonteringsverktyg!$D$41="Nej",Diskonteringsverktyg!$D$42="Ja"),$D57*Diskonteringsverktyg!$D$39*Diskonteringsverktyg!$D$40,Diskonteringsverktyg!$D$39*Diskonteringsverktyg!$D$40)))</f>
        <v>0</v>
      </c>
      <c r="J57" s="23">
        <f>IF(AND(Diskonteringsverktyg!$D$45="Ja",Diskonteringsverktyg!$D$46="Ja"),$D57*$E57*Diskonteringsverktyg!$D$43*Diskonteringsverktyg!$D$44,IF(AND(Diskonteringsverktyg!$D$45="Ja",Diskonteringsverktyg!$D$46="Nej"),$E57*Diskonteringsverktyg!$D$43*Diskonteringsverktyg!$D$44,IF(AND(Diskonteringsverktyg!$D$45="Nej",Diskonteringsverktyg!$D$46="Ja"),$D57*Diskonteringsverktyg!$D$43*Diskonteringsverktyg!$D$44,Diskonteringsverktyg!$D$43*Diskonteringsverktyg!$D$44)))</f>
        <v>0</v>
      </c>
      <c r="K57" s="23">
        <f t="shared" si="0"/>
        <v>12108.149225460464</v>
      </c>
      <c r="L57" s="23">
        <f t="shared" si="1"/>
        <v>2094.6908001066527</v>
      </c>
      <c r="M57" s="23">
        <f>IF((B57&lt;=Diskonteringsverktyg!$D$16),Diskonteringsverktyg!$D$50*Diskonteringsverktyg!$D$14^(B57-Diskonteringsverktyg!$D$11),M56)</f>
        <v>2481.1008426959897</v>
      </c>
      <c r="N57" s="23">
        <f t="shared" si="2"/>
        <v>429.22654920735914</v>
      </c>
      <c r="O57" s="30"/>
    </row>
    <row r="58" spans="1:15" x14ac:dyDescent="0.2">
      <c r="A58" s="97">
        <v>52</v>
      </c>
      <c r="B58" s="88">
        <f>Diskonteringsverktyg!$D$12+A58</f>
        <v>2080</v>
      </c>
      <c r="C58" s="22">
        <f>1/(Diskonteringsverktyg!$D$9)^(B58-Diskonteringsverktyg!$D$10)</f>
        <v>0.16714824105884016</v>
      </c>
      <c r="D58" s="21">
        <f>IF(B58&lt;=Diskonteringsverktyg!$D$15,Diskonteringsverktyg!$D$21^(B58-Diskonteringsverktyg!$D$24),IF(AND(B58&gt;Diskonteringsverktyg!$D$15,B58&lt;=Diskonteringsverktyg!$D$16),Diskonteringsverktyg!$D$21^(Diskonteringsverktyg!$D$15-Diskonteringsverktyg!$D$24)*Diskonteringsverktyg!$D$22^(B58-Diskonteringsverktyg!$D$15),D57))</f>
        <v>1.4311229737306663</v>
      </c>
      <c r="E58" s="21">
        <f>IF(B58&lt;=Diskonteringsverktyg!$D$16,(Diskonteringsverktyg!$D$13)^(B58-Diskonteringsverktyg!$D$23),E57)</f>
        <v>1.6921186295957242</v>
      </c>
      <c r="F58" s="23">
        <f>IF(AND(Diskonteringsverktyg!$D$29="Ja",Diskonteringsverktyg!$D$30="Ja"),$D58*$E58*Diskonteringsverktyg!$D$27*Diskonteringsverktyg!$D$28,IF(AND(Diskonteringsverktyg!$D$29="Ja",Diskonteringsverktyg!$D$30="Nej"),$E58*Diskonteringsverktyg!$D$27*Diskonteringsverktyg!$D$28,IF(AND(Diskonteringsverktyg!$D$29="Nej",Diskonteringsverktyg!$D$30="Ja"),$D58*Diskonteringsverktyg!$D$27*Diskonteringsverktyg!$D$28,Diskonteringsverktyg!$D$27*Diskonteringsverktyg!$D$28)))</f>
        <v>12108.149225460464</v>
      </c>
      <c r="G58" s="23">
        <f>IF(AND(Diskonteringsverktyg!$D$33="Ja",Diskonteringsverktyg!$D$34="Ja"),$D58*$E58*Diskonteringsverktyg!$D$31*Diskonteringsverktyg!$D$32,IF(AND(Diskonteringsverktyg!$D$33="Ja",Diskonteringsverktyg!$D$34="Nej"),$E58*Diskonteringsverktyg!$D$31*Diskonteringsverktyg!$D$32,IF(AND(Diskonteringsverktyg!$D$33="Nej",Diskonteringsverktyg!$D$34="Ja"),$D58*Diskonteringsverktyg!$D$31*Diskonteringsverktyg!$D$32,Diskonteringsverktyg!$D$31*Diskonteringsverktyg!$D$32)))</f>
        <v>0</v>
      </c>
      <c r="H58" s="23">
        <f>IF(AND(Diskonteringsverktyg!$D$37="Ja",Diskonteringsverktyg!$D$38="Ja"),$D58*$E58*Diskonteringsverktyg!$D$35*Diskonteringsverktyg!$D$36,IF(AND(Diskonteringsverktyg!$D$37="Ja",Diskonteringsverktyg!$D$38="Nej"),$E58*Diskonteringsverktyg!$D$35*Diskonteringsverktyg!$D$36,IF(AND(Diskonteringsverktyg!$D$37="Nej",Diskonteringsverktyg!$D$38="Ja"),$D58*Diskonteringsverktyg!$D$35*Diskonteringsverktyg!$D$36,Diskonteringsverktyg!$D$35*Diskonteringsverktyg!$D$36)))</f>
        <v>0</v>
      </c>
      <c r="I58" s="23">
        <f>IF(AND(Diskonteringsverktyg!$D$41="Ja",Diskonteringsverktyg!$D$42="Ja"),$D58*$E58*Diskonteringsverktyg!$D$39*Diskonteringsverktyg!$D$40,IF(AND(Diskonteringsverktyg!$D$41="Ja",Diskonteringsverktyg!$D$42="Nej"),$E58*Diskonteringsverktyg!$D$39*Diskonteringsverktyg!$D$40,IF(AND(Diskonteringsverktyg!$D$41="Nej",Diskonteringsverktyg!$D$42="Ja"),$D58*Diskonteringsverktyg!$D$39*Diskonteringsverktyg!$D$40,Diskonteringsverktyg!$D$39*Diskonteringsverktyg!$D$40)))</f>
        <v>0</v>
      </c>
      <c r="J58" s="23">
        <f>IF(AND(Diskonteringsverktyg!$D$45="Ja",Diskonteringsverktyg!$D$46="Ja"),$D58*$E58*Diskonteringsverktyg!$D$43*Diskonteringsverktyg!$D$44,IF(AND(Diskonteringsverktyg!$D$45="Ja",Diskonteringsverktyg!$D$46="Nej"),$E58*Diskonteringsverktyg!$D$43*Diskonteringsverktyg!$D$44,IF(AND(Diskonteringsverktyg!$D$45="Nej",Diskonteringsverktyg!$D$46="Ja"),$D58*Diskonteringsverktyg!$D$43*Diskonteringsverktyg!$D$44,Diskonteringsverktyg!$D$43*Diskonteringsverktyg!$D$44)))</f>
        <v>0</v>
      </c>
      <c r="K58" s="23">
        <f t="shared" si="0"/>
        <v>12108.149225460464</v>
      </c>
      <c r="L58" s="23">
        <f t="shared" si="1"/>
        <v>2023.8558455136742</v>
      </c>
      <c r="M58" s="23">
        <f>IF((B58&lt;=Diskonteringsverktyg!$D$16),Diskonteringsverktyg!$D$50*Diskonteringsverktyg!$D$14^(B58-Diskonteringsverktyg!$D$11),M57)</f>
        <v>2481.1008426959897</v>
      </c>
      <c r="N58" s="23">
        <f t="shared" si="2"/>
        <v>414.71164174624073</v>
      </c>
      <c r="O58" s="30"/>
    </row>
    <row r="59" spans="1:15" x14ac:dyDescent="0.2">
      <c r="A59" s="97">
        <v>53</v>
      </c>
      <c r="B59" s="88">
        <f>Diskonteringsverktyg!$D$12+A59</f>
        <v>2081</v>
      </c>
      <c r="C59" s="22">
        <f>1/(Diskonteringsverktyg!$D$9)^(B59-Diskonteringsverktyg!$D$10)</f>
        <v>0.16149588508100501</v>
      </c>
      <c r="D59" s="21">
        <f>IF(B59&lt;=Diskonteringsverktyg!$D$15,Diskonteringsverktyg!$D$21^(B59-Diskonteringsverktyg!$D$24),IF(AND(B59&gt;Diskonteringsverktyg!$D$15,B59&lt;=Diskonteringsverktyg!$D$16),Diskonteringsverktyg!$D$21^(Diskonteringsverktyg!$D$15-Diskonteringsverktyg!$D$24)*Diskonteringsverktyg!$D$22^(B59-Diskonteringsverktyg!$D$15),D58))</f>
        <v>1.4311229737306663</v>
      </c>
      <c r="E59" s="21">
        <f>IF(B59&lt;=Diskonteringsverktyg!$D$16,(Diskonteringsverktyg!$D$13)^(B59-Diskonteringsverktyg!$D$23),E58)</f>
        <v>1.6921186295957242</v>
      </c>
      <c r="F59" s="23">
        <f>IF(AND(Diskonteringsverktyg!$D$29="Ja",Diskonteringsverktyg!$D$30="Ja"),$D59*$E59*Diskonteringsverktyg!$D$27*Diskonteringsverktyg!$D$28,IF(AND(Diskonteringsverktyg!$D$29="Ja",Diskonteringsverktyg!$D$30="Nej"),$E59*Diskonteringsverktyg!$D$27*Diskonteringsverktyg!$D$28,IF(AND(Diskonteringsverktyg!$D$29="Nej",Diskonteringsverktyg!$D$30="Ja"),$D59*Diskonteringsverktyg!$D$27*Diskonteringsverktyg!$D$28,Diskonteringsverktyg!$D$27*Diskonteringsverktyg!$D$28)))</f>
        <v>12108.149225460464</v>
      </c>
      <c r="G59" s="23">
        <f>IF(AND(Diskonteringsverktyg!$D$33="Ja",Diskonteringsverktyg!$D$34="Ja"),$D59*$E59*Diskonteringsverktyg!$D$31*Diskonteringsverktyg!$D$32,IF(AND(Diskonteringsverktyg!$D$33="Ja",Diskonteringsverktyg!$D$34="Nej"),$E59*Diskonteringsverktyg!$D$31*Diskonteringsverktyg!$D$32,IF(AND(Diskonteringsverktyg!$D$33="Nej",Diskonteringsverktyg!$D$34="Ja"),$D59*Diskonteringsverktyg!$D$31*Diskonteringsverktyg!$D$32,Diskonteringsverktyg!$D$31*Diskonteringsverktyg!$D$32)))</f>
        <v>0</v>
      </c>
      <c r="H59" s="23">
        <f>IF(AND(Diskonteringsverktyg!$D$37="Ja",Diskonteringsverktyg!$D$38="Ja"),$D59*$E59*Diskonteringsverktyg!$D$35*Diskonteringsverktyg!$D$36,IF(AND(Diskonteringsverktyg!$D$37="Ja",Diskonteringsverktyg!$D$38="Nej"),$E59*Diskonteringsverktyg!$D$35*Diskonteringsverktyg!$D$36,IF(AND(Diskonteringsverktyg!$D$37="Nej",Diskonteringsverktyg!$D$38="Ja"),$D59*Diskonteringsverktyg!$D$35*Diskonteringsverktyg!$D$36,Diskonteringsverktyg!$D$35*Diskonteringsverktyg!$D$36)))</f>
        <v>0</v>
      </c>
      <c r="I59" s="23">
        <f>IF(AND(Diskonteringsverktyg!$D$41="Ja",Diskonteringsverktyg!$D$42="Ja"),$D59*$E59*Diskonteringsverktyg!$D$39*Diskonteringsverktyg!$D$40,IF(AND(Diskonteringsverktyg!$D$41="Ja",Diskonteringsverktyg!$D$42="Nej"),$E59*Diskonteringsverktyg!$D$39*Diskonteringsverktyg!$D$40,IF(AND(Diskonteringsverktyg!$D$41="Nej",Diskonteringsverktyg!$D$42="Ja"),$D59*Diskonteringsverktyg!$D$39*Diskonteringsverktyg!$D$40,Diskonteringsverktyg!$D$39*Diskonteringsverktyg!$D$40)))</f>
        <v>0</v>
      </c>
      <c r="J59" s="23">
        <f>IF(AND(Diskonteringsverktyg!$D$45="Ja",Diskonteringsverktyg!$D$46="Ja"),$D59*$E59*Diskonteringsverktyg!$D$43*Diskonteringsverktyg!$D$44,IF(AND(Diskonteringsverktyg!$D$45="Ja",Diskonteringsverktyg!$D$46="Nej"),$E59*Diskonteringsverktyg!$D$43*Diskonteringsverktyg!$D$44,IF(AND(Diskonteringsverktyg!$D$45="Nej",Diskonteringsverktyg!$D$46="Ja"),$D59*Diskonteringsverktyg!$D$43*Diskonteringsverktyg!$D$44,Diskonteringsverktyg!$D$43*Diskonteringsverktyg!$D$44)))</f>
        <v>0</v>
      </c>
      <c r="K59" s="23">
        <f t="shared" si="0"/>
        <v>12108.149225460464</v>
      </c>
      <c r="L59" s="23">
        <f t="shared" si="1"/>
        <v>1955.4162758586228</v>
      </c>
      <c r="M59" s="23">
        <f>IF((B59&lt;=Diskonteringsverktyg!$D$16),Diskonteringsverktyg!$D$50*Diskonteringsverktyg!$D$14^(B59-Diskonteringsverktyg!$D$11),M58)</f>
        <v>2481.1008426959897</v>
      </c>
      <c r="N59" s="23">
        <f t="shared" si="2"/>
        <v>400.68757656641628</v>
      </c>
      <c r="O59" s="30"/>
    </row>
    <row r="60" spans="1:15" x14ac:dyDescent="0.2">
      <c r="A60" s="97">
        <v>54</v>
      </c>
      <c r="B60" s="88">
        <f>Diskonteringsverktyg!$D$12+A60</f>
        <v>2082</v>
      </c>
      <c r="C60" s="22">
        <f>1/(Diskonteringsverktyg!$D$9)^(B60-Diskonteringsverktyg!$D$10)</f>
        <v>0.15603467157585027</v>
      </c>
      <c r="D60" s="21">
        <f>IF(B60&lt;=Diskonteringsverktyg!$D$15,Diskonteringsverktyg!$D$21^(B60-Diskonteringsverktyg!$D$24),IF(AND(B60&gt;Diskonteringsverktyg!$D$15,B60&lt;=Diskonteringsverktyg!$D$16),Diskonteringsverktyg!$D$21^(Diskonteringsverktyg!$D$15-Diskonteringsverktyg!$D$24)*Diskonteringsverktyg!$D$22^(B60-Diskonteringsverktyg!$D$15),D59))</f>
        <v>1.4311229737306663</v>
      </c>
      <c r="E60" s="21">
        <f>IF(B60&lt;=Diskonteringsverktyg!$D$16,(Diskonteringsverktyg!$D$13)^(B60-Diskonteringsverktyg!$D$23),E59)</f>
        <v>1.6921186295957242</v>
      </c>
      <c r="F60" s="23">
        <f>IF(AND(Diskonteringsverktyg!$D$29="Ja",Diskonteringsverktyg!$D$30="Ja"),$D60*$E60*Diskonteringsverktyg!$D$27*Diskonteringsverktyg!$D$28,IF(AND(Diskonteringsverktyg!$D$29="Ja",Diskonteringsverktyg!$D$30="Nej"),$E60*Diskonteringsverktyg!$D$27*Diskonteringsverktyg!$D$28,IF(AND(Diskonteringsverktyg!$D$29="Nej",Diskonteringsverktyg!$D$30="Ja"),$D60*Diskonteringsverktyg!$D$27*Diskonteringsverktyg!$D$28,Diskonteringsverktyg!$D$27*Diskonteringsverktyg!$D$28)))</f>
        <v>12108.149225460464</v>
      </c>
      <c r="G60" s="23">
        <f>IF(AND(Diskonteringsverktyg!$D$33="Ja",Diskonteringsverktyg!$D$34="Ja"),$D60*$E60*Diskonteringsverktyg!$D$31*Diskonteringsverktyg!$D$32,IF(AND(Diskonteringsverktyg!$D$33="Ja",Diskonteringsverktyg!$D$34="Nej"),$E60*Diskonteringsverktyg!$D$31*Diskonteringsverktyg!$D$32,IF(AND(Diskonteringsverktyg!$D$33="Nej",Diskonteringsverktyg!$D$34="Ja"),$D60*Diskonteringsverktyg!$D$31*Diskonteringsverktyg!$D$32,Diskonteringsverktyg!$D$31*Diskonteringsverktyg!$D$32)))</f>
        <v>0</v>
      </c>
      <c r="H60" s="23">
        <f>IF(AND(Diskonteringsverktyg!$D$37="Ja",Diskonteringsverktyg!$D$38="Ja"),$D60*$E60*Diskonteringsverktyg!$D$35*Diskonteringsverktyg!$D$36,IF(AND(Diskonteringsverktyg!$D$37="Ja",Diskonteringsverktyg!$D$38="Nej"),$E60*Diskonteringsverktyg!$D$35*Diskonteringsverktyg!$D$36,IF(AND(Diskonteringsverktyg!$D$37="Nej",Diskonteringsverktyg!$D$38="Ja"),$D60*Diskonteringsverktyg!$D$35*Diskonteringsverktyg!$D$36,Diskonteringsverktyg!$D$35*Diskonteringsverktyg!$D$36)))</f>
        <v>0</v>
      </c>
      <c r="I60" s="23">
        <f>IF(AND(Diskonteringsverktyg!$D$41="Ja",Diskonteringsverktyg!$D$42="Ja"),$D60*$E60*Diskonteringsverktyg!$D$39*Diskonteringsverktyg!$D$40,IF(AND(Diskonteringsverktyg!$D$41="Ja",Diskonteringsverktyg!$D$42="Nej"),$E60*Diskonteringsverktyg!$D$39*Diskonteringsverktyg!$D$40,IF(AND(Diskonteringsverktyg!$D$41="Nej",Diskonteringsverktyg!$D$42="Ja"),$D60*Diskonteringsverktyg!$D$39*Diskonteringsverktyg!$D$40,Diskonteringsverktyg!$D$39*Diskonteringsverktyg!$D$40)))</f>
        <v>0</v>
      </c>
      <c r="J60" s="23">
        <f>IF(AND(Diskonteringsverktyg!$D$45="Ja",Diskonteringsverktyg!$D$46="Ja"),$D60*$E60*Diskonteringsverktyg!$D$43*Diskonteringsverktyg!$D$44,IF(AND(Diskonteringsverktyg!$D$45="Ja",Diskonteringsverktyg!$D$46="Nej"),$E60*Diskonteringsverktyg!$D$43*Diskonteringsverktyg!$D$44,IF(AND(Diskonteringsverktyg!$D$45="Nej",Diskonteringsverktyg!$D$46="Ja"),$D60*Diskonteringsverktyg!$D$43*Diskonteringsverktyg!$D$44,Diskonteringsverktyg!$D$43*Diskonteringsverktyg!$D$44)))</f>
        <v>0</v>
      </c>
      <c r="K60" s="23">
        <f t="shared" si="0"/>
        <v>12108.149225460464</v>
      </c>
      <c r="L60" s="23">
        <f t="shared" si="1"/>
        <v>1889.2910877861093</v>
      </c>
      <c r="M60" s="23">
        <f>IF((B60&lt;=Diskonteringsverktyg!$D$16),Diskonteringsverktyg!$D$50*Diskonteringsverktyg!$D$14^(B60-Diskonteringsverktyg!$D$11),M59)</f>
        <v>2481.1008426959897</v>
      </c>
      <c r="N60" s="23">
        <f t="shared" si="2"/>
        <v>387.1377551366341</v>
      </c>
      <c r="O60" s="30"/>
    </row>
    <row r="61" spans="1:15" x14ac:dyDescent="0.2">
      <c r="A61" s="97">
        <v>55</v>
      </c>
      <c r="B61" s="88">
        <f>Diskonteringsverktyg!$D$12+A61</f>
        <v>2083</v>
      </c>
      <c r="C61" s="22">
        <f>1/(Diskonteringsverktyg!$D$9)^(B61-Diskonteringsverktyg!$D$10)</f>
        <v>0.15075813678826111</v>
      </c>
      <c r="D61" s="21">
        <f>IF(B61&lt;=Diskonteringsverktyg!$D$15,Diskonteringsverktyg!$D$21^(B61-Diskonteringsverktyg!$D$24),IF(AND(B61&gt;Diskonteringsverktyg!$D$15,B61&lt;=Diskonteringsverktyg!$D$16),Diskonteringsverktyg!$D$21^(Diskonteringsverktyg!$D$15-Diskonteringsverktyg!$D$24)*Diskonteringsverktyg!$D$22^(B61-Diskonteringsverktyg!$D$15),D60))</f>
        <v>1.4311229737306663</v>
      </c>
      <c r="E61" s="21">
        <f>IF(B61&lt;=Diskonteringsverktyg!$D$16,(Diskonteringsverktyg!$D$13)^(B61-Diskonteringsverktyg!$D$23),E60)</f>
        <v>1.6921186295957242</v>
      </c>
      <c r="F61" s="23">
        <f>IF(AND(Diskonteringsverktyg!$D$29="Ja",Diskonteringsverktyg!$D$30="Ja"),$D61*$E61*Diskonteringsverktyg!$D$27*Diskonteringsverktyg!$D$28,IF(AND(Diskonteringsverktyg!$D$29="Ja",Diskonteringsverktyg!$D$30="Nej"),$E61*Diskonteringsverktyg!$D$27*Diskonteringsverktyg!$D$28,IF(AND(Diskonteringsverktyg!$D$29="Nej",Diskonteringsverktyg!$D$30="Ja"),$D61*Diskonteringsverktyg!$D$27*Diskonteringsverktyg!$D$28,Diskonteringsverktyg!$D$27*Diskonteringsverktyg!$D$28)))</f>
        <v>12108.149225460464</v>
      </c>
      <c r="G61" s="23">
        <f>IF(AND(Diskonteringsverktyg!$D$33="Ja",Diskonteringsverktyg!$D$34="Ja"),$D61*$E61*Diskonteringsverktyg!$D$31*Diskonteringsverktyg!$D$32,IF(AND(Diskonteringsverktyg!$D$33="Ja",Diskonteringsverktyg!$D$34="Nej"),$E61*Diskonteringsverktyg!$D$31*Diskonteringsverktyg!$D$32,IF(AND(Diskonteringsverktyg!$D$33="Nej",Diskonteringsverktyg!$D$34="Ja"),$D61*Diskonteringsverktyg!$D$31*Diskonteringsverktyg!$D$32,Diskonteringsverktyg!$D$31*Diskonteringsverktyg!$D$32)))</f>
        <v>0</v>
      </c>
      <c r="H61" s="23">
        <f>IF(AND(Diskonteringsverktyg!$D$37="Ja",Diskonteringsverktyg!$D$38="Ja"),$D61*$E61*Diskonteringsverktyg!$D$35*Diskonteringsverktyg!$D$36,IF(AND(Diskonteringsverktyg!$D$37="Ja",Diskonteringsverktyg!$D$38="Nej"),$E61*Diskonteringsverktyg!$D$35*Diskonteringsverktyg!$D$36,IF(AND(Diskonteringsverktyg!$D$37="Nej",Diskonteringsverktyg!$D$38="Ja"),$D61*Diskonteringsverktyg!$D$35*Diskonteringsverktyg!$D$36,Diskonteringsverktyg!$D$35*Diskonteringsverktyg!$D$36)))</f>
        <v>0</v>
      </c>
      <c r="I61" s="23">
        <f>IF(AND(Diskonteringsverktyg!$D$41="Ja",Diskonteringsverktyg!$D$42="Ja"),$D61*$E61*Diskonteringsverktyg!$D$39*Diskonteringsverktyg!$D$40,IF(AND(Diskonteringsverktyg!$D$41="Ja",Diskonteringsverktyg!$D$42="Nej"),$E61*Diskonteringsverktyg!$D$39*Diskonteringsverktyg!$D$40,IF(AND(Diskonteringsverktyg!$D$41="Nej",Diskonteringsverktyg!$D$42="Ja"),$D61*Diskonteringsverktyg!$D$39*Diskonteringsverktyg!$D$40,Diskonteringsverktyg!$D$39*Diskonteringsverktyg!$D$40)))</f>
        <v>0</v>
      </c>
      <c r="J61" s="23">
        <f>IF(AND(Diskonteringsverktyg!$D$45="Ja",Diskonteringsverktyg!$D$46="Ja"),$D61*$E61*Diskonteringsverktyg!$D$43*Diskonteringsverktyg!$D$44,IF(AND(Diskonteringsverktyg!$D$45="Ja",Diskonteringsverktyg!$D$46="Nej"),$E61*Diskonteringsverktyg!$D$43*Diskonteringsverktyg!$D$44,IF(AND(Diskonteringsverktyg!$D$45="Nej",Diskonteringsverktyg!$D$46="Ja"),$D61*Diskonteringsverktyg!$D$43*Diskonteringsverktyg!$D$44,Diskonteringsverktyg!$D$43*Diskonteringsverktyg!$D$44)))</f>
        <v>0</v>
      </c>
      <c r="K61" s="23">
        <f t="shared" si="0"/>
        <v>12108.149225460464</v>
      </c>
      <c r="L61" s="23">
        <f t="shared" si="1"/>
        <v>1825.4020171846464</v>
      </c>
      <c r="M61" s="23">
        <f>IF((B61&lt;=Diskonteringsverktyg!$D$16),Diskonteringsverktyg!$D$50*Diskonteringsverktyg!$D$14^(B61-Diskonteringsverktyg!$D$11),M60)</f>
        <v>2481.1008426959897</v>
      </c>
      <c r="N61" s="23">
        <f t="shared" si="2"/>
        <v>374.04614022863194</v>
      </c>
      <c r="O61" s="30"/>
    </row>
    <row r="62" spans="1:15" x14ac:dyDescent="0.2">
      <c r="A62" s="97">
        <v>56</v>
      </c>
      <c r="B62" s="88">
        <f>Diskonteringsverktyg!$D$12+A62</f>
        <v>2084</v>
      </c>
      <c r="C62" s="22">
        <f>1/(Diskonteringsverktyg!$D$9)^(B62-Diskonteringsverktyg!$D$10)</f>
        <v>0.14566003554421367</v>
      </c>
      <c r="D62" s="21">
        <f>IF(B62&lt;=Diskonteringsverktyg!$D$15,Diskonteringsverktyg!$D$21^(B62-Diskonteringsverktyg!$D$24),IF(AND(B62&gt;Diskonteringsverktyg!$D$15,B62&lt;=Diskonteringsverktyg!$D$16),Diskonteringsverktyg!$D$21^(Diskonteringsverktyg!$D$15-Diskonteringsverktyg!$D$24)*Diskonteringsverktyg!$D$22^(B62-Diskonteringsverktyg!$D$15),D61))</f>
        <v>1.4311229737306663</v>
      </c>
      <c r="E62" s="21">
        <f>IF(B62&lt;=Diskonteringsverktyg!$D$16,(Diskonteringsverktyg!$D$13)^(B62-Diskonteringsverktyg!$D$23),E61)</f>
        <v>1.6921186295957242</v>
      </c>
      <c r="F62" s="23">
        <f>IF(AND(Diskonteringsverktyg!$D$29="Ja",Diskonteringsverktyg!$D$30="Ja"),$D62*$E62*Diskonteringsverktyg!$D$27*Diskonteringsverktyg!$D$28,IF(AND(Diskonteringsverktyg!$D$29="Ja",Diskonteringsverktyg!$D$30="Nej"),$E62*Diskonteringsverktyg!$D$27*Diskonteringsverktyg!$D$28,IF(AND(Diskonteringsverktyg!$D$29="Nej",Diskonteringsverktyg!$D$30="Ja"),$D62*Diskonteringsverktyg!$D$27*Diskonteringsverktyg!$D$28,Diskonteringsverktyg!$D$27*Diskonteringsverktyg!$D$28)))</f>
        <v>12108.149225460464</v>
      </c>
      <c r="G62" s="23">
        <f>IF(AND(Diskonteringsverktyg!$D$33="Ja",Diskonteringsverktyg!$D$34="Ja"),$D62*$E62*Diskonteringsverktyg!$D$31*Diskonteringsverktyg!$D$32,IF(AND(Diskonteringsverktyg!$D$33="Ja",Diskonteringsverktyg!$D$34="Nej"),$E62*Diskonteringsverktyg!$D$31*Diskonteringsverktyg!$D$32,IF(AND(Diskonteringsverktyg!$D$33="Nej",Diskonteringsverktyg!$D$34="Ja"),$D62*Diskonteringsverktyg!$D$31*Diskonteringsverktyg!$D$32,Diskonteringsverktyg!$D$31*Diskonteringsverktyg!$D$32)))</f>
        <v>0</v>
      </c>
      <c r="H62" s="23">
        <f>IF(AND(Diskonteringsverktyg!$D$37="Ja",Diskonteringsverktyg!$D$38="Ja"),$D62*$E62*Diskonteringsverktyg!$D$35*Diskonteringsverktyg!$D$36,IF(AND(Diskonteringsverktyg!$D$37="Ja",Diskonteringsverktyg!$D$38="Nej"),$E62*Diskonteringsverktyg!$D$35*Diskonteringsverktyg!$D$36,IF(AND(Diskonteringsverktyg!$D$37="Nej",Diskonteringsverktyg!$D$38="Ja"),$D62*Diskonteringsverktyg!$D$35*Diskonteringsverktyg!$D$36,Diskonteringsverktyg!$D$35*Diskonteringsverktyg!$D$36)))</f>
        <v>0</v>
      </c>
      <c r="I62" s="23">
        <f>IF(AND(Diskonteringsverktyg!$D$41="Ja",Diskonteringsverktyg!$D$42="Ja"),$D62*$E62*Diskonteringsverktyg!$D$39*Diskonteringsverktyg!$D$40,IF(AND(Diskonteringsverktyg!$D$41="Ja",Diskonteringsverktyg!$D$42="Nej"),$E62*Diskonteringsverktyg!$D$39*Diskonteringsverktyg!$D$40,IF(AND(Diskonteringsverktyg!$D$41="Nej",Diskonteringsverktyg!$D$42="Ja"),$D62*Diskonteringsverktyg!$D$39*Diskonteringsverktyg!$D$40,Diskonteringsverktyg!$D$39*Diskonteringsverktyg!$D$40)))</f>
        <v>0</v>
      </c>
      <c r="J62" s="23">
        <f>IF(AND(Diskonteringsverktyg!$D$45="Ja",Diskonteringsverktyg!$D$46="Ja"),$D62*$E62*Diskonteringsverktyg!$D$43*Diskonteringsverktyg!$D$44,IF(AND(Diskonteringsverktyg!$D$45="Ja",Diskonteringsverktyg!$D$46="Nej"),$E62*Diskonteringsverktyg!$D$43*Diskonteringsverktyg!$D$44,IF(AND(Diskonteringsverktyg!$D$45="Nej",Diskonteringsverktyg!$D$46="Ja"),$D62*Diskonteringsverktyg!$D$43*Diskonteringsverktyg!$D$44,Diskonteringsverktyg!$D$43*Diskonteringsverktyg!$D$44)))</f>
        <v>0</v>
      </c>
      <c r="K62" s="23">
        <f t="shared" si="0"/>
        <v>12108.149225460464</v>
      </c>
      <c r="L62" s="23">
        <f t="shared" si="1"/>
        <v>1763.6734465552142</v>
      </c>
      <c r="M62" s="23">
        <f>IF((B62&lt;=Diskonteringsverktyg!$D$16),Diskonteringsverktyg!$D$50*Diskonteringsverktyg!$D$14^(B62-Diskonteringsverktyg!$D$11),M61)</f>
        <v>2481.1008426959897</v>
      </c>
      <c r="N62" s="23">
        <f t="shared" si="2"/>
        <v>361.39723693587632</v>
      </c>
      <c r="O62" s="30"/>
    </row>
    <row r="63" spans="1:15" x14ac:dyDescent="0.2">
      <c r="A63" s="97">
        <v>57</v>
      </c>
      <c r="B63" s="88">
        <f>Diskonteringsverktyg!$D$12+A63</f>
        <v>2085</v>
      </c>
      <c r="C63" s="22">
        <f>1/(Diskonteringsverktyg!$D$9)^(B63-Diskonteringsverktyg!$D$10)</f>
        <v>0.14073433385914366</v>
      </c>
      <c r="D63" s="21">
        <f>IF(B63&lt;=Diskonteringsverktyg!$D$15,Diskonteringsverktyg!$D$21^(B63-Diskonteringsverktyg!$D$24),IF(AND(B63&gt;Diskonteringsverktyg!$D$15,B63&lt;=Diskonteringsverktyg!$D$16),Diskonteringsverktyg!$D$21^(Diskonteringsverktyg!$D$15-Diskonteringsverktyg!$D$24)*Diskonteringsverktyg!$D$22^(B63-Diskonteringsverktyg!$D$15),D62))</f>
        <v>1.4311229737306663</v>
      </c>
      <c r="E63" s="21">
        <f>IF(B63&lt;=Diskonteringsverktyg!$D$16,(Diskonteringsverktyg!$D$13)^(B63-Diskonteringsverktyg!$D$23),E62)</f>
        <v>1.6921186295957242</v>
      </c>
      <c r="F63" s="23">
        <f>IF(AND(Diskonteringsverktyg!$D$29="Ja",Diskonteringsverktyg!$D$30="Ja"),$D63*$E63*Diskonteringsverktyg!$D$27*Diskonteringsverktyg!$D$28,IF(AND(Diskonteringsverktyg!$D$29="Ja",Diskonteringsverktyg!$D$30="Nej"),$E63*Diskonteringsverktyg!$D$27*Diskonteringsverktyg!$D$28,IF(AND(Diskonteringsverktyg!$D$29="Nej",Diskonteringsverktyg!$D$30="Ja"),$D63*Diskonteringsverktyg!$D$27*Diskonteringsverktyg!$D$28,Diskonteringsverktyg!$D$27*Diskonteringsverktyg!$D$28)))</f>
        <v>12108.149225460464</v>
      </c>
      <c r="G63" s="23">
        <f>IF(AND(Diskonteringsverktyg!$D$33="Ja",Diskonteringsverktyg!$D$34="Ja"),$D63*$E63*Diskonteringsverktyg!$D$31*Diskonteringsverktyg!$D$32,IF(AND(Diskonteringsverktyg!$D$33="Ja",Diskonteringsverktyg!$D$34="Nej"),$E63*Diskonteringsverktyg!$D$31*Diskonteringsverktyg!$D$32,IF(AND(Diskonteringsverktyg!$D$33="Nej",Diskonteringsverktyg!$D$34="Ja"),$D63*Diskonteringsverktyg!$D$31*Diskonteringsverktyg!$D$32,Diskonteringsverktyg!$D$31*Diskonteringsverktyg!$D$32)))</f>
        <v>0</v>
      </c>
      <c r="H63" s="23">
        <f>IF(AND(Diskonteringsverktyg!$D$37="Ja",Diskonteringsverktyg!$D$38="Ja"),$D63*$E63*Diskonteringsverktyg!$D$35*Diskonteringsverktyg!$D$36,IF(AND(Diskonteringsverktyg!$D$37="Ja",Diskonteringsverktyg!$D$38="Nej"),$E63*Diskonteringsverktyg!$D$35*Diskonteringsverktyg!$D$36,IF(AND(Diskonteringsverktyg!$D$37="Nej",Diskonteringsverktyg!$D$38="Ja"),$D63*Diskonteringsverktyg!$D$35*Diskonteringsverktyg!$D$36,Diskonteringsverktyg!$D$35*Diskonteringsverktyg!$D$36)))</f>
        <v>0</v>
      </c>
      <c r="I63" s="23">
        <f>IF(AND(Diskonteringsverktyg!$D$41="Ja",Diskonteringsverktyg!$D$42="Ja"),$D63*$E63*Diskonteringsverktyg!$D$39*Diskonteringsverktyg!$D$40,IF(AND(Diskonteringsverktyg!$D$41="Ja",Diskonteringsverktyg!$D$42="Nej"),$E63*Diskonteringsverktyg!$D$39*Diskonteringsverktyg!$D$40,IF(AND(Diskonteringsverktyg!$D$41="Nej",Diskonteringsverktyg!$D$42="Ja"),$D63*Diskonteringsverktyg!$D$39*Diskonteringsverktyg!$D$40,Diskonteringsverktyg!$D$39*Diskonteringsverktyg!$D$40)))</f>
        <v>0</v>
      </c>
      <c r="J63" s="23">
        <f>IF(AND(Diskonteringsverktyg!$D$45="Ja",Diskonteringsverktyg!$D$46="Ja"),$D63*$E63*Diskonteringsverktyg!$D$43*Diskonteringsverktyg!$D$44,IF(AND(Diskonteringsverktyg!$D$45="Ja",Diskonteringsverktyg!$D$46="Nej"),$E63*Diskonteringsverktyg!$D$43*Diskonteringsverktyg!$D$44,IF(AND(Diskonteringsverktyg!$D$45="Nej",Diskonteringsverktyg!$D$46="Ja"),$D63*Diskonteringsverktyg!$D$43*Diskonteringsverktyg!$D$44,Diskonteringsverktyg!$D$43*Diskonteringsverktyg!$D$44)))</f>
        <v>0</v>
      </c>
      <c r="K63" s="23">
        <f t="shared" si="0"/>
        <v>12108.149225460464</v>
      </c>
      <c r="L63" s="23">
        <f t="shared" si="1"/>
        <v>1704.0323155122846</v>
      </c>
      <c r="M63" s="23">
        <f>IF((B63&lt;=Diskonteringsverktyg!$D$16),Diskonteringsverktyg!$D$50*Diskonteringsverktyg!$D$14^(B63-Diskonteringsverktyg!$D$11),M62)</f>
        <v>2481.1008426959897</v>
      </c>
      <c r="N63" s="23">
        <f t="shared" si="2"/>
        <v>349.1760743341801</v>
      </c>
      <c r="O63" s="30"/>
    </row>
    <row r="64" spans="1:15" x14ac:dyDescent="0.2">
      <c r="A64" s="97">
        <v>58</v>
      </c>
      <c r="B64" s="88">
        <f>Diskonteringsverktyg!$D$12+A64</f>
        <v>2086</v>
      </c>
      <c r="C64" s="22">
        <f>1/(Diskonteringsverktyg!$D$9)^(B64-Diskonteringsverktyg!$D$10)</f>
        <v>0.13597520179627406</v>
      </c>
      <c r="D64" s="21">
        <f>IF(B64&lt;=Diskonteringsverktyg!$D$15,Diskonteringsverktyg!$D$21^(B64-Diskonteringsverktyg!$D$24),IF(AND(B64&gt;Diskonteringsverktyg!$D$15,B64&lt;=Diskonteringsverktyg!$D$16),Diskonteringsverktyg!$D$21^(Diskonteringsverktyg!$D$15-Diskonteringsverktyg!$D$24)*Diskonteringsverktyg!$D$22^(B64-Diskonteringsverktyg!$D$15),D63))</f>
        <v>1.4311229737306663</v>
      </c>
      <c r="E64" s="21">
        <f>IF(B64&lt;=Diskonteringsverktyg!$D$16,(Diskonteringsverktyg!$D$13)^(B64-Diskonteringsverktyg!$D$23),E63)</f>
        <v>1.6921186295957242</v>
      </c>
      <c r="F64" s="23">
        <f>IF(AND(Diskonteringsverktyg!$D$29="Ja",Diskonteringsverktyg!$D$30="Ja"),$D64*$E64*Diskonteringsverktyg!$D$27*Diskonteringsverktyg!$D$28,IF(AND(Diskonteringsverktyg!$D$29="Ja",Diskonteringsverktyg!$D$30="Nej"),$E64*Diskonteringsverktyg!$D$27*Diskonteringsverktyg!$D$28,IF(AND(Diskonteringsverktyg!$D$29="Nej",Diskonteringsverktyg!$D$30="Ja"),$D64*Diskonteringsverktyg!$D$27*Diskonteringsverktyg!$D$28,Diskonteringsverktyg!$D$27*Diskonteringsverktyg!$D$28)))</f>
        <v>12108.149225460464</v>
      </c>
      <c r="G64" s="23">
        <f>IF(AND(Diskonteringsverktyg!$D$33="Ja",Diskonteringsverktyg!$D$34="Ja"),$D64*$E64*Diskonteringsverktyg!$D$31*Diskonteringsverktyg!$D$32,IF(AND(Diskonteringsverktyg!$D$33="Ja",Diskonteringsverktyg!$D$34="Nej"),$E64*Diskonteringsverktyg!$D$31*Diskonteringsverktyg!$D$32,IF(AND(Diskonteringsverktyg!$D$33="Nej",Diskonteringsverktyg!$D$34="Ja"),$D64*Diskonteringsverktyg!$D$31*Diskonteringsverktyg!$D$32,Diskonteringsverktyg!$D$31*Diskonteringsverktyg!$D$32)))</f>
        <v>0</v>
      </c>
      <c r="H64" s="23">
        <f>IF(AND(Diskonteringsverktyg!$D$37="Ja",Diskonteringsverktyg!$D$38="Ja"),$D64*$E64*Diskonteringsverktyg!$D$35*Diskonteringsverktyg!$D$36,IF(AND(Diskonteringsverktyg!$D$37="Ja",Diskonteringsverktyg!$D$38="Nej"),$E64*Diskonteringsverktyg!$D$35*Diskonteringsverktyg!$D$36,IF(AND(Diskonteringsverktyg!$D$37="Nej",Diskonteringsverktyg!$D$38="Ja"),$D64*Diskonteringsverktyg!$D$35*Diskonteringsverktyg!$D$36,Diskonteringsverktyg!$D$35*Diskonteringsverktyg!$D$36)))</f>
        <v>0</v>
      </c>
      <c r="I64" s="23">
        <f>IF(AND(Diskonteringsverktyg!$D$41="Ja",Diskonteringsverktyg!$D$42="Ja"),$D64*$E64*Diskonteringsverktyg!$D$39*Diskonteringsverktyg!$D$40,IF(AND(Diskonteringsverktyg!$D$41="Ja",Diskonteringsverktyg!$D$42="Nej"),$E64*Diskonteringsverktyg!$D$39*Diskonteringsverktyg!$D$40,IF(AND(Diskonteringsverktyg!$D$41="Nej",Diskonteringsverktyg!$D$42="Ja"),$D64*Diskonteringsverktyg!$D$39*Diskonteringsverktyg!$D$40,Diskonteringsverktyg!$D$39*Diskonteringsverktyg!$D$40)))</f>
        <v>0</v>
      </c>
      <c r="J64" s="23">
        <f>IF(AND(Diskonteringsverktyg!$D$45="Ja",Diskonteringsverktyg!$D$46="Ja"),$D64*$E64*Diskonteringsverktyg!$D$43*Diskonteringsverktyg!$D$44,IF(AND(Diskonteringsverktyg!$D$45="Ja",Diskonteringsverktyg!$D$46="Nej"),$E64*Diskonteringsverktyg!$D$43*Diskonteringsverktyg!$D$44,IF(AND(Diskonteringsverktyg!$D$45="Nej",Diskonteringsverktyg!$D$46="Ja"),$D64*Diskonteringsverktyg!$D$43*Diskonteringsverktyg!$D$44,Diskonteringsverktyg!$D$43*Diskonteringsverktyg!$D$44)))</f>
        <v>0</v>
      </c>
      <c r="K64" s="23">
        <f t="shared" si="0"/>
        <v>12108.149225460464</v>
      </c>
      <c r="L64" s="23">
        <f t="shared" si="1"/>
        <v>1646.408034311386</v>
      </c>
      <c r="M64" s="23">
        <f>IF((B64&lt;=Diskonteringsverktyg!$D$16),Diskonteringsverktyg!$D$50*Diskonteringsverktyg!$D$14^(B64-Diskonteringsverktyg!$D$11),M63)</f>
        <v>2481.1008426959897</v>
      </c>
      <c r="N64" s="23">
        <f t="shared" si="2"/>
        <v>337.36818776249282</v>
      </c>
      <c r="O64" s="30"/>
    </row>
    <row r="65" spans="1:15" x14ac:dyDescent="0.2">
      <c r="A65" s="97">
        <v>59</v>
      </c>
      <c r="B65" s="88">
        <f>Diskonteringsverktyg!$D$12+A65</f>
        <v>2087</v>
      </c>
      <c r="C65" s="22">
        <f>1/(Diskonteringsverktyg!$D$9)^(B65-Diskonteringsverktyg!$D$10)</f>
        <v>0.13137700656644835</v>
      </c>
      <c r="D65" s="21">
        <f>IF(B65&lt;=Diskonteringsverktyg!$D$15,Diskonteringsverktyg!$D$21^(B65-Diskonteringsverktyg!$D$24),IF(AND(B65&gt;Diskonteringsverktyg!$D$15,B65&lt;=Diskonteringsverktyg!$D$16),Diskonteringsverktyg!$D$21^(Diskonteringsverktyg!$D$15-Diskonteringsverktyg!$D$24)*Diskonteringsverktyg!$D$22^(B65-Diskonteringsverktyg!$D$15),D64))</f>
        <v>1.4311229737306663</v>
      </c>
      <c r="E65" s="21">
        <f>IF(B65&lt;=Diskonteringsverktyg!$D$16,(Diskonteringsverktyg!$D$13)^(B65-Diskonteringsverktyg!$D$23),E64)</f>
        <v>1.6921186295957242</v>
      </c>
      <c r="F65" s="23">
        <f>IF(AND(Diskonteringsverktyg!$D$29="Ja",Diskonteringsverktyg!$D$30="Ja"),$D65*$E65*Diskonteringsverktyg!$D$27*Diskonteringsverktyg!$D$28,IF(AND(Diskonteringsverktyg!$D$29="Ja",Diskonteringsverktyg!$D$30="Nej"),$E65*Diskonteringsverktyg!$D$27*Diskonteringsverktyg!$D$28,IF(AND(Diskonteringsverktyg!$D$29="Nej",Diskonteringsverktyg!$D$30="Ja"),$D65*Diskonteringsverktyg!$D$27*Diskonteringsverktyg!$D$28,Diskonteringsverktyg!$D$27*Diskonteringsverktyg!$D$28)))</f>
        <v>12108.149225460464</v>
      </c>
      <c r="G65" s="23">
        <f>IF(AND(Diskonteringsverktyg!$D$33="Ja",Diskonteringsverktyg!$D$34="Ja"),$D65*$E65*Diskonteringsverktyg!$D$31*Diskonteringsverktyg!$D$32,IF(AND(Diskonteringsverktyg!$D$33="Ja",Diskonteringsverktyg!$D$34="Nej"),$E65*Diskonteringsverktyg!$D$31*Diskonteringsverktyg!$D$32,IF(AND(Diskonteringsverktyg!$D$33="Nej",Diskonteringsverktyg!$D$34="Ja"),$D65*Diskonteringsverktyg!$D$31*Diskonteringsverktyg!$D$32,Diskonteringsverktyg!$D$31*Diskonteringsverktyg!$D$32)))</f>
        <v>0</v>
      </c>
      <c r="H65" s="23">
        <f>IF(AND(Diskonteringsverktyg!$D$37="Ja",Diskonteringsverktyg!$D$38="Ja"),$D65*$E65*Diskonteringsverktyg!$D$35*Diskonteringsverktyg!$D$36,IF(AND(Diskonteringsverktyg!$D$37="Ja",Diskonteringsverktyg!$D$38="Nej"),$E65*Diskonteringsverktyg!$D$35*Diskonteringsverktyg!$D$36,IF(AND(Diskonteringsverktyg!$D$37="Nej",Diskonteringsverktyg!$D$38="Ja"),$D65*Diskonteringsverktyg!$D$35*Diskonteringsverktyg!$D$36,Diskonteringsverktyg!$D$35*Diskonteringsverktyg!$D$36)))</f>
        <v>0</v>
      </c>
      <c r="I65" s="23">
        <f>IF(AND(Diskonteringsverktyg!$D$41="Ja",Diskonteringsverktyg!$D$42="Ja"),$D65*$E65*Diskonteringsverktyg!$D$39*Diskonteringsverktyg!$D$40,IF(AND(Diskonteringsverktyg!$D$41="Ja",Diskonteringsverktyg!$D$42="Nej"),$E65*Diskonteringsverktyg!$D$39*Diskonteringsverktyg!$D$40,IF(AND(Diskonteringsverktyg!$D$41="Nej",Diskonteringsverktyg!$D$42="Ja"),$D65*Diskonteringsverktyg!$D$39*Diskonteringsverktyg!$D$40,Diskonteringsverktyg!$D$39*Diskonteringsverktyg!$D$40)))</f>
        <v>0</v>
      </c>
      <c r="J65" s="23">
        <f>IF(AND(Diskonteringsverktyg!$D$45="Ja",Diskonteringsverktyg!$D$46="Ja"),$D65*$E65*Diskonteringsverktyg!$D$43*Diskonteringsverktyg!$D$44,IF(AND(Diskonteringsverktyg!$D$45="Ja",Diskonteringsverktyg!$D$46="Nej"),$E65*Diskonteringsverktyg!$D$43*Diskonteringsverktyg!$D$44,IF(AND(Diskonteringsverktyg!$D$45="Nej",Diskonteringsverktyg!$D$46="Ja"),$D65*Diskonteringsverktyg!$D$43*Diskonteringsverktyg!$D$44,Diskonteringsverktyg!$D$43*Diskonteringsverktyg!$D$44)))</f>
        <v>0</v>
      </c>
      <c r="K65" s="23">
        <f t="shared" si="0"/>
        <v>12108.149225460464</v>
      </c>
      <c r="L65" s="23">
        <f t="shared" si="1"/>
        <v>1590.7324003008559</v>
      </c>
      <c r="M65" s="23">
        <f>IF((B65&lt;=Diskonteringsverktyg!$D$16),Diskonteringsverktyg!$D$50*Diskonteringsverktyg!$D$14^(B65-Diskonteringsverktyg!$D$11),M64)</f>
        <v>2481.1008426959897</v>
      </c>
      <c r="N65" s="23">
        <f t="shared" si="2"/>
        <v>325.95960170289158</v>
      </c>
      <c r="O65" s="30"/>
    </row>
    <row r="66" spans="1:15" x14ac:dyDescent="0.2">
      <c r="A66" s="97">
        <v>60</v>
      </c>
      <c r="B66" s="88">
        <f>Diskonteringsverktyg!$D$12+A66</f>
        <v>2088</v>
      </c>
      <c r="C66" s="22">
        <f>1/(Diskonteringsverktyg!$D$9)^(B66-Diskonteringsverktyg!$D$10)</f>
        <v>0.12693430586130278</v>
      </c>
      <c r="D66" s="21">
        <f>IF(B66&lt;=Diskonteringsverktyg!$D$15,Diskonteringsverktyg!$D$21^(B66-Diskonteringsverktyg!$D$24),IF(AND(B66&gt;Diskonteringsverktyg!$D$15,B66&lt;=Diskonteringsverktyg!$D$16),Diskonteringsverktyg!$D$21^(Diskonteringsverktyg!$D$15-Diskonteringsverktyg!$D$24)*Diskonteringsverktyg!$D$22^(B66-Diskonteringsverktyg!$D$15),D65))</f>
        <v>1.4311229737306663</v>
      </c>
      <c r="E66" s="21">
        <f>IF(B66&lt;=Diskonteringsverktyg!$D$16,(Diskonteringsverktyg!$D$13)^(B66-Diskonteringsverktyg!$D$23),E65)</f>
        <v>1.6921186295957242</v>
      </c>
      <c r="F66" s="23">
        <f>IF(AND(Diskonteringsverktyg!$D$29="Ja",Diskonteringsverktyg!$D$30="Ja"),$D66*$E66*Diskonteringsverktyg!$D$27*Diskonteringsverktyg!$D$28,IF(AND(Diskonteringsverktyg!$D$29="Ja",Diskonteringsverktyg!$D$30="Nej"),$E66*Diskonteringsverktyg!$D$27*Diskonteringsverktyg!$D$28,IF(AND(Diskonteringsverktyg!$D$29="Nej",Diskonteringsverktyg!$D$30="Ja"),$D66*Diskonteringsverktyg!$D$27*Diskonteringsverktyg!$D$28,Diskonteringsverktyg!$D$27*Diskonteringsverktyg!$D$28)))</f>
        <v>12108.149225460464</v>
      </c>
      <c r="G66" s="23">
        <f>IF(AND(Diskonteringsverktyg!$D$33="Ja",Diskonteringsverktyg!$D$34="Ja"),$D66*$E66*Diskonteringsverktyg!$D$31*Diskonteringsverktyg!$D$32,IF(AND(Diskonteringsverktyg!$D$33="Ja",Diskonteringsverktyg!$D$34="Nej"),$E66*Diskonteringsverktyg!$D$31*Diskonteringsverktyg!$D$32,IF(AND(Diskonteringsverktyg!$D$33="Nej",Diskonteringsverktyg!$D$34="Ja"),$D66*Diskonteringsverktyg!$D$31*Diskonteringsverktyg!$D$32,Diskonteringsverktyg!$D$31*Diskonteringsverktyg!$D$32)))</f>
        <v>0</v>
      </c>
      <c r="H66" s="23">
        <f>IF(AND(Diskonteringsverktyg!$D$37="Ja",Diskonteringsverktyg!$D$38="Ja"),$D66*$E66*Diskonteringsverktyg!$D$35*Diskonteringsverktyg!$D$36,IF(AND(Diskonteringsverktyg!$D$37="Ja",Diskonteringsverktyg!$D$38="Nej"),$E66*Diskonteringsverktyg!$D$35*Diskonteringsverktyg!$D$36,IF(AND(Diskonteringsverktyg!$D$37="Nej",Diskonteringsverktyg!$D$38="Ja"),$D66*Diskonteringsverktyg!$D$35*Diskonteringsverktyg!$D$36,Diskonteringsverktyg!$D$35*Diskonteringsverktyg!$D$36)))</f>
        <v>0</v>
      </c>
      <c r="I66" s="23">
        <f>IF(AND(Diskonteringsverktyg!$D$41="Ja",Diskonteringsverktyg!$D$42="Ja"),$D66*$E66*Diskonteringsverktyg!$D$39*Diskonteringsverktyg!$D$40,IF(AND(Diskonteringsverktyg!$D$41="Ja",Diskonteringsverktyg!$D$42="Nej"),$E66*Diskonteringsverktyg!$D$39*Diskonteringsverktyg!$D$40,IF(AND(Diskonteringsverktyg!$D$41="Nej",Diskonteringsverktyg!$D$42="Ja"),$D66*Diskonteringsverktyg!$D$39*Diskonteringsverktyg!$D$40,Diskonteringsverktyg!$D$39*Diskonteringsverktyg!$D$40)))</f>
        <v>0</v>
      </c>
      <c r="J66" s="23">
        <f>IF(AND(Diskonteringsverktyg!$D$45="Ja",Diskonteringsverktyg!$D$46="Ja"),$D66*$E66*Diskonteringsverktyg!$D$43*Diskonteringsverktyg!$D$44,IF(AND(Diskonteringsverktyg!$D$45="Ja",Diskonteringsverktyg!$D$46="Nej"),$E66*Diskonteringsverktyg!$D$43*Diskonteringsverktyg!$D$44,IF(AND(Diskonteringsverktyg!$D$45="Nej",Diskonteringsverktyg!$D$46="Ja"),$D66*Diskonteringsverktyg!$D$43*Diskonteringsverktyg!$D$44,Diskonteringsverktyg!$D$43*Diskonteringsverktyg!$D$44)))</f>
        <v>0</v>
      </c>
      <c r="K66" s="23">
        <f t="shared" si="0"/>
        <v>12108.149225460464</v>
      </c>
      <c r="L66" s="23">
        <f t="shared" si="1"/>
        <v>1536.9395171988947</v>
      </c>
      <c r="M66" s="23">
        <f>IF((B66&lt;=Diskonteringsverktyg!$D$16),Diskonteringsverktyg!$D$50*Diskonteringsverktyg!$D$14^(B66-Diskonteringsverktyg!$D$11),M65)</f>
        <v>2481.1008426959897</v>
      </c>
      <c r="N66" s="23">
        <f t="shared" si="2"/>
        <v>314.93681323950881</v>
      </c>
      <c r="O66" s="30"/>
    </row>
    <row r="67" spans="1:15" x14ac:dyDescent="0.2">
      <c r="A67" s="97">
        <v>61</v>
      </c>
      <c r="B67" s="88">
        <f>Diskonteringsverktyg!$D$12+A67</f>
        <v>2089</v>
      </c>
      <c r="C67" s="22">
        <f>1/(Diskonteringsverktyg!$D$9)^(B67-Diskonteringsverktyg!$D$10)</f>
        <v>0.12264184141188678</v>
      </c>
      <c r="D67" s="21">
        <f>IF(B67&lt;=Diskonteringsverktyg!$D$15,Diskonteringsverktyg!$D$21^(B67-Diskonteringsverktyg!$D$24),IF(AND(B67&gt;Diskonteringsverktyg!$D$15,B67&lt;=Diskonteringsverktyg!$D$16),Diskonteringsverktyg!$D$21^(Diskonteringsverktyg!$D$15-Diskonteringsverktyg!$D$24)*Diskonteringsverktyg!$D$22^(B67-Diskonteringsverktyg!$D$15),D66))</f>
        <v>1.4311229737306663</v>
      </c>
      <c r="E67" s="21">
        <f>IF(B67&lt;=Diskonteringsverktyg!$D$16,(Diskonteringsverktyg!$D$13)^(B67-Diskonteringsverktyg!$D$23),E66)</f>
        <v>1.6921186295957242</v>
      </c>
      <c r="F67" s="23">
        <f>IF(AND(Diskonteringsverktyg!$D$29="Ja",Diskonteringsverktyg!$D$30="Ja"),$D67*$E67*Diskonteringsverktyg!$D$27*Diskonteringsverktyg!$D$28,IF(AND(Diskonteringsverktyg!$D$29="Ja",Diskonteringsverktyg!$D$30="Nej"),$E67*Diskonteringsverktyg!$D$27*Diskonteringsverktyg!$D$28,IF(AND(Diskonteringsverktyg!$D$29="Nej",Diskonteringsverktyg!$D$30="Ja"),$D67*Diskonteringsverktyg!$D$27*Diskonteringsverktyg!$D$28,Diskonteringsverktyg!$D$27*Diskonteringsverktyg!$D$28)))</f>
        <v>12108.149225460464</v>
      </c>
      <c r="G67" s="23">
        <f>IF(AND(Diskonteringsverktyg!$D$33="Ja",Diskonteringsverktyg!$D$34="Ja"),$D67*$E67*Diskonteringsverktyg!$D$31*Diskonteringsverktyg!$D$32,IF(AND(Diskonteringsverktyg!$D$33="Ja",Diskonteringsverktyg!$D$34="Nej"),$E67*Diskonteringsverktyg!$D$31*Diskonteringsverktyg!$D$32,IF(AND(Diskonteringsverktyg!$D$33="Nej",Diskonteringsverktyg!$D$34="Ja"),$D67*Diskonteringsverktyg!$D$31*Diskonteringsverktyg!$D$32,Diskonteringsverktyg!$D$31*Diskonteringsverktyg!$D$32)))</f>
        <v>0</v>
      </c>
      <c r="H67" s="23">
        <f>IF(AND(Diskonteringsverktyg!$D$37="Ja",Diskonteringsverktyg!$D$38="Ja"),$D67*$E67*Diskonteringsverktyg!$D$35*Diskonteringsverktyg!$D$36,IF(AND(Diskonteringsverktyg!$D$37="Ja",Diskonteringsverktyg!$D$38="Nej"),$E67*Diskonteringsverktyg!$D$35*Diskonteringsverktyg!$D$36,IF(AND(Diskonteringsverktyg!$D$37="Nej",Diskonteringsverktyg!$D$38="Ja"),$D67*Diskonteringsverktyg!$D$35*Diskonteringsverktyg!$D$36,Diskonteringsverktyg!$D$35*Diskonteringsverktyg!$D$36)))</f>
        <v>0</v>
      </c>
      <c r="I67" s="23">
        <f>IF(AND(Diskonteringsverktyg!$D$41="Ja",Diskonteringsverktyg!$D$42="Ja"),$D67*$E67*Diskonteringsverktyg!$D$39*Diskonteringsverktyg!$D$40,IF(AND(Diskonteringsverktyg!$D$41="Ja",Diskonteringsverktyg!$D$42="Nej"),$E67*Diskonteringsverktyg!$D$39*Diskonteringsverktyg!$D$40,IF(AND(Diskonteringsverktyg!$D$41="Nej",Diskonteringsverktyg!$D$42="Ja"),$D67*Diskonteringsverktyg!$D$39*Diskonteringsverktyg!$D$40,Diskonteringsverktyg!$D$39*Diskonteringsverktyg!$D$40)))</f>
        <v>0</v>
      </c>
      <c r="J67" s="23">
        <f>IF(AND(Diskonteringsverktyg!$D$45="Ja",Diskonteringsverktyg!$D$46="Ja"),$D67*$E67*Diskonteringsverktyg!$D$43*Diskonteringsverktyg!$D$44,IF(AND(Diskonteringsverktyg!$D$45="Ja",Diskonteringsverktyg!$D$46="Nej"),$E67*Diskonteringsverktyg!$D$43*Diskonteringsverktyg!$D$44,IF(AND(Diskonteringsverktyg!$D$45="Nej",Diskonteringsverktyg!$D$46="Ja"),$D67*Diskonteringsverktyg!$D$43*Diskonteringsverktyg!$D$44,Diskonteringsverktyg!$D$43*Diskonteringsverktyg!$D$44)))</f>
        <v>0</v>
      </c>
      <c r="K67" s="23">
        <f t="shared" si="0"/>
        <v>12108.149225460464</v>
      </c>
      <c r="L67" s="23">
        <f t="shared" si="1"/>
        <v>1484.9657171003819</v>
      </c>
      <c r="M67" s="23">
        <f>IF((B67&lt;=Diskonteringsverktyg!$D$16),Diskonteringsverktyg!$D$50*Diskonteringsverktyg!$D$14^(B67-Diskonteringsverktyg!$D$11),M66)</f>
        <v>2481.1008426959897</v>
      </c>
      <c r="N67" s="23">
        <f t="shared" si="2"/>
        <v>304.28677607682022</v>
      </c>
      <c r="O67" s="30"/>
    </row>
    <row r="68" spans="1:15" x14ac:dyDescent="0.2">
      <c r="A68" s="97">
        <v>62</v>
      </c>
      <c r="B68" s="88">
        <f>Diskonteringsverktyg!$D$12+A68</f>
        <v>2090</v>
      </c>
      <c r="C68" s="22">
        <f>1/(Diskonteringsverktyg!$D$9)^(B68-Diskonteringsverktyg!$D$10)</f>
        <v>0.11849453276510799</v>
      </c>
      <c r="D68" s="21">
        <f>IF(B68&lt;=Diskonteringsverktyg!$D$15,Diskonteringsverktyg!$D$21^(B68-Diskonteringsverktyg!$D$24),IF(AND(B68&gt;Diskonteringsverktyg!$D$15,B68&lt;=Diskonteringsverktyg!$D$16),Diskonteringsverktyg!$D$21^(Diskonteringsverktyg!$D$15-Diskonteringsverktyg!$D$24)*Diskonteringsverktyg!$D$22^(B68-Diskonteringsverktyg!$D$15),D67))</f>
        <v>1.4311229737306663</v>
      </c>
      <c r="E68" s="21">
        <f>IF(B68&lt;=Diskonteringsverktyg!$D$16,(Diskonteringsverktyg!$D$13)^(B68-Diskonteringsverktyg!$D$23),E67)</f>
        <v>1.6921186295957242</v>
      </c>
      <c r="F68" s="23">
        <f>IF(AND(Diskonteringsverktyg!$D$29="Ja",Diskonteringsverktyg!$D$30="Ja"),$D68*$E68*Diskonteringsverktyg!$D$27*Diskonteringsverktyg!$D$28,IF(AND(Diskonteringsverktyg!$D$29="Ja",Diskonteringsverktyg!$D$30="Nej"),$E68*Diskonteringsverktyg!$D$27*Diskonteringsverktyg!$D$28,IF(AND(Diskonteringsverktyg!$D$29="Nej",Diskonteringsverktyg!$D$30="Ja"),$D68*Diskonteringsverktyg!$D$27*Diskonteringsverktyg!$D$28,Diskonteringsverktyg!$D$27*Diskonteringsverktyg!$D$28)))</f>
        <v>12108.149225460464</v>
      </c>
      <c r="G68" s="23">
        <f>IF(AND(Diskonteringsverktyg!$D$33="Ja",Diskonteringsverktyg!$D$34="Ja"),$D68*$E68*Diskonteringsverktyg!$D$31*Diskonteringsverktyg!$D$32,IF(AND(Diskonteringsverktyg!$D$33="Ja",Diskonteringsverktyg!$D$34="Nej"),$E68*Diskonteringsverktyg!$D$31*Diskonteringsverktyg!$D$32,IF(AND(Diskonteringsverktyg!$D$33="Nej",Diskonteringsverktyg!$D$34="Ja"),$D68*Diskonteringsverktyg!$D$31*Diskonteringsverktyg!$D$32,Diskonteringsverktyg!$D$31*Diskonteringsverktyg!$D$32)))</f>
        <v>0</v>
      </c>
      <c r="H68" s="23">
        <f>IF(AND(Diskonteringsverktyg!$D$37="Ja",Diskonteringsverktyg!$D$38="Ja"),$D68*$E68*Diskonteringsverktyg!$D$35*Diskonteringsverktyg!$D$36,IF(AND(Diskonteringsverktyg!$D$37="Ja",Diskonteringsverktyg!$D$38="Nej"),$E68*Diskonteringsverktyg!$D$35*Diskonteringsverktyg!$D$36,IF(AND(Diskonteringsverktyg!$D$37="Nej",Diskonteringsverktyg!$D$38="Ja"),$D68*Diskonteringsverktyg!$D$35*Diskonteringsverktyg!$D$36,Diskonteringsverktyg!$D$35*Diskonteringsverktyg!$D$36)))</f>
        <v>0</v>
      </c>
      <c r="I68" s="23">
        <f>IF(AND(Diskonteringsverktyg!$D$41="Ja",Diskonteringsverktyg!$D$42="Ja"),$D68*$E68*Diskonteringsverktyg!$D$39*Diskonteringsverktyg!$D$40,IF(AND(Diskonteringsverktyg!$D$41="Ja",Diskonteringsverktyg!$D$42="Nej"),$E68*Diskonteringsverktyg!$D$39*Diskonteringsverktyg!$D$40,IF(AND(Diskonteringsverktyg!$D$41="Nej",Diskonteringsverktyg!$D$42="Ja"),$D68*Diskonteringsverktyg!$D$39*Diskonteringsverktyg!$D$40,Diskonteringsverktyg!$D$39*Diskonteringsverktyg!$D$40)))</f>
        <v>0</v>
      </c>
      <c r="J68" s="23">
        <f>IF(AND(Diskonteringsverktyg!$D$45="Ja",Diskonteringsverktyg!$D$46="Ja"),$D68*$E68*Diskonteringsverktyg!$D$43*Diskonteringsverktyg!$D$44,IF(AND(Diskonteringsverktyg!$D$45="Ja",Diskonteringsverktyg!$D$46="Nej"),$E68*Diskonteringsverktyg!$D$43*Diskonteringsverktyg!$D$44,IF(AND(Diskonteringsverktyg!$D$45="Nej",Diskonteringsverktyg!$D$46="Ja"),$D68*Diskonteringsverktyg!$D$43*Diskonteringsverktyg!$D$44,Diskonteringsverktyg!$D$43*Diskonteringsverktyg!$D$44)))</f>
        <v>0</v>
      </c>
      <c r="K68" s="23">
        <f t="shared" si="0"/>
        <v>12108.149225460464</v>
      </c>
      <c r="L68" s="23">
        <f t="shared" si="1"/>
        <v>1434.7494851211418</v>
      </c>
      <c r="M68" s="23">
        <f>IF((B68&lt;=Diskonteringsverktyg!$D$16),Diskonteringsverktyg!$D$50*Diskonteringsverktyg!$D$14^(B68-Diskonteringsverktyg!$D$11),M67)</f>
        <v>2481.1008426959897</v>
      </c>
      <c r="N68" s="23">
        <f t="shared" si="2"/>
        <v>293.99688509837699</v>
      </c>
      <c r="O68" s="30"/>
    </row>
    <row r="69" spans="1:15" x14ac:dyDescent="0.2">
      <c r="A69" s="97">
        <v>63</v>
      </c>
      <c r="B69" s="88">
        <f>Diskonteringsverktyg!$D$12+A69</f>
        <v>2091</v>
      </c>
      <c r="C69" s="22">
        <f>1/(Diskonteringsverktyg!$D$9)^(B69-Diskonteringsverktyg!$D$10)</f>
        <v>0.11448747127063574</v>
      </c>
      <c r="D69" s="21">
        <f>IF(B69&lt;=Diskonteringsverktyg!$D$15,Diskonteringsverktyg!$D$21^(B69-Diskonteringsverktyg!$D$24),IF(AND(B69&gt;Diskonteringsverktyg!$D$15,B69&lt;=Diskonteringsverktyg!$D$16),Diskonteringsverktyg!$D$21^(Diskonteringsverktyg!$D$15-Diskonteringsverktyg!$D$24)*Diskonteringsverktyg!$D$22^(B69-Diskonteringsverktyg!$D$15),D68))</f>
        <v>1.4311229737306663</v>
      </c>
      <c r="E69" s="21">
        <f>IF(B69&lt;=Diskonteringsverktyg!$D$16,(Diskonteringsverktyg!$D$13)^(B69-Diskonteringsverktyg!$D$23),E68)</f>
        <v>1.6921186295957242</v>
      </c>
      <c r="F69" s="23">
        <f>IF(AND(Diskonteringsverktyg!$D$29="Ja",Diskonteringsverktyg!$D$30="Ja"),$D69*$E69*Diskonteringsverktyg!$D$27*Diskonteringsverktyg!$D$28,IF(AND(Diskonteringsverktyg!$D$29="Ja",Diskonteringsverktyg!$D$30="Nej"),$E69*Diskonteringsverktyg!$D$27*Diskonteringsverktyg!$D$28,IF(AND(Diskonteringsverktyg!$D$29="Nej",Diskonteringsverktyg!$D$30="Ja"),$D69*Diskonteringsverktyg!$D$27*Diskonteringsverktyg!$D$28,Diskonteringsverktyg!$D$27*Diskonteringsverktyg!$D$28)))</f>
        <v>12108.149225460464</v>
      </c>
      <c r="G69" s="23">
        <f>IF(AND(Diskonteringsverktyg!$D$33="Ja",Diskonteringsverktyg!$D$34="Ja"),$D69*$E69*Diskonteringsverktyg!$D$31*Diskonteringsverktyg!$D$32,IF(AND(Diskonteringsverktyg!$D$33="Ja",Diskonteringsverktyg!$D$34="Nej"),$E69*Diskonteringsverktyg!$D$31*Diskonteringsverktyg!$D$32,IF(AND(Diskonteringsverktyg!$D$33="Nej",Diskonteringsverktyg!$D$34="Ja"),$D69*Diskonteringsverktyg!$D$31*Diskonteringsverktyg!$D$32,Diskonteringsverktyg!$D$31*Diskonteringsverktyg!$D$32)))</f>
        <v>0</v>
      </c>
      <c r="H69" s="23">
        <f>IF(AND(Diskonteringsverktyg!$D$37="Ja",Diskonteringsverktyg!$D$38="Ja"),$D69*$E69*Diskonteringsverktyg!$D$35*Diskonteringsverktyg!$D$36,IF(AND(Diskonteringsverktyg!$D$37="Ja",Diskonteringsverktyg!$D$38="Nej"),$E69*Diskonteringsverktyg!$D$35*Diskonteringsverktyg!$D$36,IF(AND(Diskonteringsverktyg!$D$37="Nej",Diskonteringsverktyg!$D$38="Ja"),$D69*Diskonteringsverktyg!$D$35*Diskonteringsverktyg!$D$36,Diskonteringsverktyg!$D$35*Diskonteringsverktyg!$D$36)))</f>
        <v>0</v>
      </c>
      <c r="I69" s="23">
        <f>IF(AND(Diskonteringsverktyg!$D$41="Ja",Diskonteringsverktyg!$D$42="Ja"),$D69*$E69*Diskonteringsverktyg!$D$39*Diskonteringsverktyg!$D$40,IF(AND(Diskonteringsverktyg!$D$41="Ja",Diskonteringsverktyg!$D$42="Nej"),$E69*Diskonteringsverktyg!$D$39*Diskonteringsverktyg!$D$40,IF(AND(Diskonteringsverktyg!$D$41="Nej",Diskonteringsverktyg!$D$42="Ja"),$D69*Diskonteringsverktyg!$D$39*Diskonteringsverktyg!$D$40,Diskonteringsverktyg!$D$39*Diskonteringsverktyg!$D$40)))</f>
        <v>0</v>
      </c>
      <c r="J69" s="23">
        <f>IF(AND(Diskonteringsverktyg!$D$45="Ja",Diskonteringsverktyg!$D$46="Ja"),$D69*$E69*Diskonteringsverktyg!$D$43*Diskonteringsverktyg!$D$44,IF(AND(Diskonteringsverktyg!$D$45="Ja",Diskonteringsverktyg!$D$46="Nej"),$E69*Diskonteringsverktyg!$D$43*Diskonteringsverktyg!$D$44,IF(AND(Diskonteringsverktyg!$D$45="Nej",Diskonteringsverktyg!$D$46="Ja"),$D69*Diskonteringsverktyg!$D$43*Diskonteringsverktyg!$D$44,Diskonteringsverktyg!$D$43*Diskonteringsverktyg!$D$44)))</f>
        <v>0</v>
      </c>
      <c r="K69" s="23">
        <f t="shared" si="0"/>
        <v>12108.149225460464</v>
      </c>
      <c r="L69" s="23">
        <f t="shared" si="1"/>
        <v>1386.2313865904753</v>
      </c>
      <c r="M69" s="23">
        <f>IF((B69&lt;=Diskonteringsverktyg!$D$16),Diskonteringsverktyg!$D$50*Diskonteringsverktyg!$D$14^(B69-Diskonteringsverktyg!$D$11),M68)</f>
        <v>2481.1008426959897</v>
      </c>
      <c r="N69" s="23">
        <f t="shared" si="2"/>
        <v>284.05496144770729</v>
      </c>
      <c r="O69" s="30"/>
    </row>
    <row r="70" spans="1:15" x14ac:dyDescent="0.2">
      <c r="A70" s="97">
        <v>64</v>
      </c>
      <c r="B70" s="88">
        <f>Diskonteringsverktyg!$D$12+A70</f>
        <v>2092</v>
      </c>
      <c r="C70" s="22">
        <f>1/(Diskonteringsverktyg!$D$9)^(B70-Diskonteringsverktyg!$D$10)</f>
        <v>0.11061591427114567</v>
      </c>
      <c r="D70" s="21">
        <f>IF(B70&lt;=Diskonteringsverktyg!$D$15,Diskonteringsverktyg!$D$21^(B70-Diskonteringsverktyg!$D$24),IF(AND(B70&gt;Diskonteringsverktyg!$D$15,B70&lt;=Diskonteringsverktyg!$D$16),Diskonteringsverktyg!$D$21^(Diskonteringsverktyg!$D$15-Diskonteringsverktyg!$D$24)*Diskonteringsverktyg!$D$22^(B70-Diskonteringsverktyg!$D$15),D69))</f>
        <v>1.4311229737306663</v>
      </c>
      <c r="E70" s="21">
        <f>IF(B70&lt;=Diskonteringsverktyg!$D$16,(Diskonteringsverktyg!$D$13)^(B70-Diskonteringsverktyg!$D$23),E69)</f>
        <v>1.6921186295957242</v>
      </c>
      <c r="F70" s="23">
        <f>IF(AND(Diskonteringsverktyg!$D$29="Ja",Diskonteringsverktyg!$D$30="Ja"),$D70*$E70*Diskonteringsverktyg!$D$27*Diskonteringsverktyg!$D$28,IF(AND(Diskonteringsverktyg!$D$29="Ja",Diskonteringsverktyg!$D$30="Nej"),$E70*Diskonteringsverktyg!$D$27*Diskonteringsverktyg!$D$28,IF(AND(Diskonteringsverktyg!$D$29="Nej",Diskonteringsverktyg!$D$30="Ja"),$D70*Diskonteringsverktyg!$D$27*Diskonteringsverktyg!$D$28,Diskonteringsverktyg!$D$27*Diskonteringsverktyg!$D$28)))</f>
        <v>12108.149225460464</v>
      </c>
      <c r="G70" s="23">
        <f>IF(AND(Diskonteringsverktyg!$D$33="Ja",Diskonteringsverktyg!$D$34="Ja"),$D70*$E70*Diskonteringsverktyg!$D$31*Diskonteringsverktyg!$D$32,IF(AND(Diskonteringsverktyg!$D$33="Ja",Diskonteringsverktyg!$D$34="Nej"),$E70*Diskonteringsverktyg!$D$31*Diskonteringsverktyg!$D$32,IF(AND(Diskonteringsverktyg!$D$33="Nej",Diskonteringsverktyg!$D$34="Ja"),$D70*Diskonteringsverktyg!$D$31*Diskonteringsverktyg!$D$32,Diskonteringsverktyg!$D$31*Diskonteringsverktyg!$D$32)))</f>
        <v>0</v>
      </c>
      <c r="H70" s="23">
        <f>IF(AND(Diskonteringsverktyg!$D$37="Ja",Diskonteringsverktyg!$D$38="Ja"),$D70*$E70*Diskonteringsverktyg!$D$35*Diskonteringsverktyg!$D$36,IF(AND(Diskonteringsverktyg!$D$37="Ja",Diskonteringsverktyg!$D$38="Nej"),$E70*Diskonteringsverktyg!$D$35*Diskonteringsverktyg!$D$36,IF(AND(Diskonteringsverktyg!$D$37="Nej",Diskonteringsverktyg!$D$38="Ja"),$D70*Diskonteringsverktyg!$D$35*Diskonteringsverktyg!$D$36,Diskonteringsverktyg!$D$35*Diskonteringsverktyg!$D$36)))</f>
        <v>0</v>
      </c>
      <c r="I70" s="23">
        <f>IF(AND(Diskonteringsverktyg!$D$41="Ja",Diskonteringsverktyg!$D$42="Ja"),$D70*$E70*Diskonteringsverktyg!$D$39*Diskonteringsverktyg!$D$40,IF(AND(Diskonteringsverktyg!$D$41="Ja",Diskonteringsverktyg!$D$42="Nej"),$E70*Diskonteringsverktyg!$D$39*Diskonteringsverktyg!$D$40,IF(AND(Diskonteringsverktyg!$D$41="Nej",Diskonteringsverktyg!$D$42="Ja"),$D70*Diskonteringsverktyg!$D$39*Diskonteringsverktyg!$D$40,Diskonteringsverktyg!$D$39*Diskonteringsverktyg!$D$40)))</f>
        <v>0</v>
      </c>
      <c r="J70" s="23">
        <f>IF(AND(Diskonteringsverktyg!$D$45="Ja",Diskonteringsverktyg!$D$46="Ja"),$D70*$E70*Diskonteringsverktyg!$D$43*Diskonteringsverktyg!$D$44,IF(AND(Diskonteringsverktyg!$D$45="Ja",Diskonteringsverktyg!$D$46="Nej"),$E70*Diskonteringsverktyg!$D$43*Diskonteringsverktyg!$D$44,IF(AND(Diskonteringsverktyg!$D$45="Nej",Diskonteringsverktyg!$D$46="Ja"),$D70*Diskonteringsverktyg!$D$43*Diskonteringsverktyg!$D$44,Diskonteringsverktyg!$D$43*Diskonteringsverktyg!$D$44)))</f>
        <v>0</v>
      </c>
      <c r="K70" s="23">
        <f t="shared" si="0"/>
        <v>12108.149225460464</v>
      </c>
      <c r="L70" s="23">
        <f t="shared" si="1"/>
        <v>1339.3539967057734</v>
      </c>
      <c r="M70" s="23">
        <f>IF((B70&lt;=Diskonteringsverktyg!$D$16),Diskonteringsverktyg!$D$50*Diskonteringsverktyg!$D$14^(B70-Diskonteringsverktyg!$D$11),M69)</f>
        <v>2481.1008426959897</v>
      </c>
      <c r="N70" s="23">
        <f t="shared" si="2"/>
        <v>274.44923811372689</v>
      </c>
      <c r="O70" s="30"/>
    </row>
    <row r="71" spans="1:15" x14ac:dyDescent="0.2">
      <c r="A71" s="97">
        <v>65</v>
      </c>
      <c r="B71" s="88">
        <f>Diskonteringsverktyg!$D$12+A71</f>
        <v>2093</v>
      </c>
      <c r="C71" s="22">
        <f>1/(Diskonteringsverktyg!$D$9)^(B71-Diskonteringsverktyg!$D$10)</f>
        <v>0.10687527948902965</v>
      </c>
      <c r="D71" s="21">
        <f>IF(B71&lt;=Diskonteringsverktyg!$D$15,Diskonteringsverktyg!$D$21^(B71-Diskonteringsverktyg!$D$24),IF(AND(B71&gt;Diskonteringsverktyg!$D$15,B71&lt;=Diskonteringsverktyg!$D$16),Diskonteringsverktyg!$D$21^(Diskonteringsverktyg!$D$15-Diskonteringsverktyg!$D$24)*Diskonteringsverktyg!$D$22^(B71-Diskonteringsverktyg!$D$15),D70))</f>
        <v>1.4311229737306663</v>
      </c>
      <c r="E71" s="21">
        <f>IF(B71&lt;=Diskonteringsverktyg!$D$16,(Diskonteringsverktyg!$D$13)^(B71-Diskonteringsverktyg!$D$23),E70)</f>
        <v>1.6921186295957242</v>
      </c>
      <c r="F71" s="23">
        <f>IF(AND(Diskonteringsverktyg!$D$29="Ja",Diskonteringsverktyg!$D$30="Ja"),$D71*$E71*Diskonteringsverktyg!$D$27*Diskonteringsverktyg!$D$28,IF(AND(Diskonteringsverktyg!$D$29="Ja",Diskonteringsverktyg!$D$30="Nej"),$E71*Diskonteringsverktyg!$D$27*Diskonteringsverktyg!$D$28,IF(AND(Diskonteringsverktyg!$D$29="Nej",Diskonteringsverktyg!$D$30="Ja"),$D71*Diskonteringsverktyg!$D$27*Diskonteringsverktyg!$D$28,Diskonteringsverktyg!$D$27*Diskonteringsverktyg!$D$28)))</f>
        <v>12108.149225460464</v>
      </c>
      <c r="G71" s="23">
        <f>IF(AND(Diskonteringsverktyg!$D$33="Ja",Diskonteringsverktyg!$D$34="Ja"),$D71*$E71*Diskonteringsverktyg!$D$31*Diskonteringsverktyg!$D$32,IF(AND(Diskonteringsverktyg!$D$33="Ja",Diskonteringsverktyg!$D$34="Nej"),$E71*Diskonteringsverktyg!$D$31*Diskonteringsverktyg!$D$32,IF(AND(Diskonteringsverktyg!$D$33="Nej",Diskonteringsverktyg!$D$34="Ja"),$D71*Diskonteringsverktyg!$D$31*Diskonteringsverktyg!$D$32,Diskonteringsverktyg!$D$31*Diskonteringsverktyg!$D$32)))</f>
        <v>0</v>
      </c>
      <c r="H71" s="23">
        <f>IF(AND(Diskonteringsverktyg!$D$37="Ja",Diskonteringsverktyg!$D$38="Ja"),$D71*$E71*Diskonteringsverktyg!$D$35*Diskonteringsverktyg!$D$36,IF(AND(Diskonteringsverktyg!$D$37="Ja",Diskonteringsverktyg!$D$38="Nej"),$E71*Diskonteringsverktyg!$D$35*Diskonteringsverktyg!$D$36,IF(AND(Diskonteringsverktyg!$D$37="Nej",Diskonteringsverktyg!$D$38="Ja"),$D71*Diskonteringsverktyg!$D$35*Diskonteringsverktyg!$D$36,Diskonteringsverktyg!$D$35*Diskonteringsverktyg!$D$36)))</f>
        <v>0</v>
      </c>
      <c r="I71" s="23">
        <f>IF(AND(Diskonteringsverktyg!$D$41="Ja",Diskonteringsverktyg!$D$42="Ja"),$D71*$E71*Diskonteringsverktyg!$D$39*Diskonteringsverktyg!$D$40,IF(AND(Diskonteringsverktyg!$D$41="Ja",Diskonteringsverktyg!$D$42="Nej"),$E71*Diskonteringsverktyg!$D$39*Diskonteringsverktyg!$D$40,IF(AND(Diskonteringsverktyg!$D$41="Nej",Diskonteringsverktyg!$D$42="Ja"),$D71*Diskonteringsverktyg!$D$39*Diskonteringsverktyg!$D$40,Diskonteringsverktyg!$D$39*Diskonteringsverktyg!$D$40)))</f>
        <v>0</v>
      </c>
      <c r="J71" s="23">
        <f>IF(AND(Diskonteringsverktyg!$D$45="Ja",Diskonteringsverktyg!$D$46="Ja"),$D71*$E71*Diskonteringsverktyg!$D$43*Diskonteringsverktyg!$D$44,IF(AND(Diskonteringsverktyg!$D$45="Ja",Diskonteringsverktyg!$D$46="Nej"),$E71*Diskonteringsverktyg!$D$43*Diskonteringsverktyg!$D$44,IF(AND(Diskonteringsverktyg!$D$45="Nej",Diskonteringsverktyg!$D$46="Ja"),$D71*Diskonteringsverktyg!$D$43*Diskonteringsverktyg!$D$44,Diskonteringsverktyg!$D$43*Diskonteringsverktyg!$D$44)))</f>
        <v>0</v>
      </c>
      <c r="K71" s="23">
        <f t="shared" ref="K71:K81" si="3">SUM(F71:J71)</f>
        <v>12108.149225460464</v>
      </c>
      <c r="L71" s="23">
        <f t="shared" ref="L71:L81" si="4">K71*C71</f>
        <v>1294.061832565965</v>
      </c>
      <c r="M71" s="23">
        <f>IF((B71&lt;=Diskonteringsverktyg!$D$16),Diskonteringsverktyg!$D$50*Diskonteringsverktyg!$D$14^(B71-Diskonteringsverktyg!$D$11),M70)</f>
        <v>2481.1008426959897</v>
      </c>
      <c r="N71" s="23">
        <f t="shared" ref="N71:N81" si="5">M71*C71</f>
        <v>265.1683460036009</v>
      </c>
      <c r="O71" s="30"/>
    </row>
    <row r="72" spans="1:15" x14ac:dyDescent="0.2">
      <c r="A72" s="97">
        <v>66</v>
      </c>
      <c r="B72" s="88">
        <f>Diskonteringsverktyg!$D$12+A72</f>
        <v>2094</v>
      </c>
      <c r="C72" s="22">
        <f>1/(Diskonteringsverktyg!$D$9)^(B72-Diskonteringsverktyg!$D$10)</f>
        <v>0.10326113960292721</v>
      </c>
      <c r="D72" s="21">
        <f>IF(B72&lt;=Diskonteringsverktyg!$D$15,Diskonteringsverktyg!$D$21^(B72-Diskonteringsverktyg!$D$24),IF(AND(B72&gt;Diskonteringsverktyg!$D$15,B72&lt;=Diskonteringsverktyg!$D$16),Diskonteringsverktyg!$D$21^(Diskonteringsverktyg!$D$15-Diskonteringsverktyg!$D$24)*Diskonteringsverktyg!$D$22^(B72-Diskonteringsverktyg!$D$15),D71))</f>
        <v>1.4311229737306663</v>
      </c>
      <c r="E72" s="21">
        <f>IF(B72&lt;=Diskonteringsverktyg!$D$16,(Diskonteringsverktyg!$D$13)^(B72-Diskonteringsverktyg!$D$23),E71)</f>
        <v>1.6921186295957242</v>
      </c>
      <c r="F72" s="23">
        <f>IF(AND(Diskonteringsverktyg!$D$29="Ja",Diskonteringsverktyg!$D$30="Ja"),$D72*$E72*Diskonteringsverktyg!$D$27*Diskonteringsverktyg!$D$28,IF(AND(Diskonteringsverktyg!$D$29="Ja",Diskonteringsverktyg!$D$30="Nej"),$E72*Diskonteringsverktyg!$D$27*Diskonteringsverktyg!$D$28,IF(AND(Diskonteringsverktyg!$D$29="Nej",Diskonteringsverktyg!$D$30="Ja"),$D72*Diskonteringsverktyg!$D$27*Diskonteringsverktyg!$D$28,Diskonteringsverktyg!$D$27*Diskonteringsverktyg!$D$28)))</f>
        <v>12108.149225460464</v>
      </c>
      <c r="G72" s="23">
        <f>IF(AND(Diskonteringsverktyg!$D$33="Ja",Diskonteringsverktyg!$D$34="Ja"),$D72*$E72*Diskonteringsverktyg!$D$31*Diskonteringsverktyg!$D$32,IF(AND(Diskonteringsverktyg!$D$33="Ja",Diskonteringsverktyg!$D$34="Nej"),$E72*Diskonteringsverktyg!$D$31*Diskonteringsverktyg!$D$32,IF(AND(Diskonteringsverktyg!$D$33="Nej",Diskonteringsverktyg!$D$34="Ja"),$D72*Diskonteringsverktyg!$D$31*Diskonteringsverktyg!$D$32,Diskonteringsverktyg!$D$31*Diskonteringsverktyg!$D$32)))</f>
        <v>0</v>
      </c>
      <c r="H72" s="23">
        <f>IF(AND(Diskonteringsverktyg!$D$37="Ja",Diskonteringsverktyg!$D$38="Ja"),$D72*$E72*Diskonteringsverktyg!$D$35*Diskonteringsverktyg!$D$36,IF(AND(Diskonteringsverktyg!$D$37="Ja",Diskonteringsverktyg!$D$38="Nej"),$E72*Diskonteringsverktyg!$D$35*Diskonteringsverktyg!$D$36,IF(AND(Diskonteringsverktyg!$D$37="Nej",Diskonteringsverktyg!$D$38="Ja"),$D72*Diskonteringsverktyg!$D$35*Diskonteringsverktyg!$D$36,Diskonteringsverktyg!$D$35*Diskonteringsverktyg!$D$36)))</f>
        <v>0</v>
      </c>
      <c r="I72" s="23">
        <f>IF(AND(Diskonteringsverktyg!$D$41="Ja",Diskonteringsverktyg!$D$42="Ja"),$D72*$E72*Diskonteringsverktyg!$D$39*Diskonteringsverktyg!$D$40,IF(AND(Diskonteringsverktyg!$D$41="Ja",Diskonteringsverktyg!$D$42="Nej"),$E72*Diskonteringsverktyg!$D$39*Diskonteringsverktyg!$D$40,IF(AND(Diskonteringsverktyg!$D$41="Nej",Diskonteringsverktyg!$D$42="Ja"),$D72*Diskonteringsverktyg!$D$39*Diskonteringsverktyg!$D$40,Diskonteringsverktyg!$D$39*Diskonteringsverktyg!$D$40)))</f>
        <v>0</v>
      </c>
      <c r="J72" s="23">
        <f>IF(AND(Diskonteringsverktyg!$D$45="Ja",Diskonteringsverktyg!$D$46="Ja"),$D72*$E72*Diskonteringsverktyg!$D$43*Diskonteringsverktyg!$D$44,IF(AND(Diskonteringsverktyg!$D$45="Ja",Diskonteringsverktyg!$D$46="Nej"),$E72*Diskonteringsverktyg!$D$43*Diskonteringsverktyg!$D$44,IF(AND(Diskonteringsverktyg!$D$45="Nej",Diskonteringsverktyg!$D$46="Ja"),$D72*Diskonteringsverktyg!$D$43*Diskonteringsverktyg!$D$44,Diskonteringsverktyg!$D$43*Diskonteringsverktyg!$D$44)))</f>
        <v>0</v>
      </c>
      <c r="K72" s="23">
        <f t="shared" si="3"/>
        <v>12108.149225460464</v>
      </c>
      <c r="L72" s="23">
        <f t="shared" si="4"/>
        <v>1250.3012875033478</v>
      </c>
      <c r="M72" s="23">
        <f>IF((B72&lt;=Diskonteringsverktyg!$D$16),Diskonteringsverktyg!$D$50*Diskonteringsverktyg!$D$14^(B72-Diskonteringsverktyg!$D$11),M71)</f>
        <v>2481.1008426959897</v>
      </c>
      <c r="N72" s="23">
        <f t="shared" si="5"/>
        <v>256.20130048657091</v>
      </c>
      <c r="O72" s="30"/>
    </row>
    <row r="73" spans="1:15" x14ac:dyDescent="0.2">
      <c r="A73" s="97">
        <v>67</v>
      </c>
      <c r="B73" s="88">
        <f>Diskonteringsverktyg!$D$12+A73</f>
        <v>2095</v>
      </c>
      <c r="C73" s="22">
        <f>1/(Diskonteringsverktyg!$D$9)^(B73-Diskonteringsverktyg!$D$10)</f>
        <v>9.9769217007659144E-2</v>
      </c>
      <c r="D73" s="21">
        <f>IF(B73&lt;=Diskonteringsverktyg!$D$15,Diskonteringsverktyg!$D$21^(B73-Diskonteringsverktyg!$D$24),IF(AND(B73&gt;Diskonteringsverktyg!$D$15,B73&lt;=Diskonteringsverktyg!$D$16),Diskonteringsverktyg!$D$21^(Diskonteringsverktyg!$D$15-Diskonteringsverktyg!$D$24)*Diskonteringsverktyg!$D$22^(B73-Diskonteringsverktyg!$D$15),D72))</f>
        <v>1.4311229737306663</v>
      </c>
      <c r="E73" s="21">
        <f>IF(B73&lt;=Diskonteringsverktyg!$D$16,(Diskonteringsverktyg!$D$13)^(B73-Diskonteringsverktyg!$D$23),E72)</f>
        <v>1.6921186295957242</v>
      </c>
      <c r="F73" s="23">
        <f>IF(AND(Diskonteringsverktyg!$D$29="Ja",Diskonteringsverktyg!$D$30="Ja"),$D73*$E73*Diskonteringsverktyg!$D$27*Diskonteringsverktyg!$D$28,IF(AND(Diskonteringsverktyg!$D$29="Ja",Diskonteringsverktyg!$D$30="Nej"),$E73*Diskonteringsverktyg!$D$27*Diskonteringsverktyg!$D$28,IF(AND(Diskonteringsverktyg!$D$29="Nej",Diskonteringsverktyg!$D$30="Ja"),$D73*Diskonteringsverktyg!$D$27*Diskonteringsverktyg!$D$28,Diskonteringsverktyg!$D$27*Diskonteringsverktyg!$D$28)))</f>
        <v>12108.149225460464</v>
      </c>
      <c r="G73" s="23">
        <f>IF(AND(Diskonteringsverktyg!$D$33="Ja",Diskonteringsverktyg!$D$34="Ja"),$D73*$E73*Diskonteringsverktyg!$D$31*Diskonteringsverktyg!$D$32,IF(AND(Diskonteringsverktyg!$D$33="Ja",Diskonteringsverktyg!$D$34="Nej"),$E73*Diskonteringsverktyg!$D$31*Diskonteringsverktyg!$D$32,IF(AND(Diskonteringsverktyg!$D$33="Nej",Diskonteringsverktyg!$D$34="Ja"),$D73*Diskonteringsverktyg!$D$31*Diskonteringsverktyg!$D$32,Diskonteringsverktyg!$D$31*Diskonteringsverktyg!$D$32)))</f>
        <v>0</v>
      </c>
      <c r="H73" s="23">
        <f>IF(AND(Diskonteringsverktyg!$D$37="Ja",Diskonteringsverktyg!$D$38="Ja"),$D73*$E73*Diskonteringsverktyg!$D$35*Diskonteringsverktyg!$D$36,IF(AND(Diskonteringsverktyg!$D$37="Ja",Diskonteringsverktyg!$D$38="Nej"),$E73*Diskonteringsverktyg!$D$35*Diskonteringsverktyg!$D$36,IF(AND(Diskonteringsverktyg!$D$37="Nej",Diskonteringsverktyg!$D$38="Ja"),$D73*Diskonteringsverktyg!$D$35*Diskonteringsverktyg!$D$36,Diskonteringsverktyg!$D$35*Diskonteringsverktyg!$D$36)))</f>
        <v>0</v>
      </c>
      <c r="I73" s="23">
        <f>IF(AND(Diskonteringsverktyg!$D$41="Ja",Diskonteringsverktyg!$D$42="Ja"),$D73*$E73*Diskonteringsverktyg!$D$39*Diskonteringsverktyg!$D$40,IF(AND(Diskonteringsverktyg!$D$41="Ja",Diskonteringsverktyg!$D$42="Nej"),$E73*Diskonteringsverktyg!$D$39*Diskonteringsverktyg!$D$40,IF(AND(Diskonteringsverktyg!$D$41="Nej",Diskonteringsverktyg!$D$42="Ja"),$D73*Diskonteringsverktyg!$D$39*Diskonteringsverktyg!$D$40,Diskonteringsverktyg!$D$39*Diskonteringsverktyg!$D$40)))</f>
        <v>0</v>
      </c>
      <c r="J73" s="23">
        <f>IF(AND(Diskonteringsverktyg!$D$45="Ja",Diskonteringsverktyg!$D$46="Ja"),$D73*$E73*Diskonteringsverktyg!$D$43*Diskonteringsverktyg!$D$44,IF(AND(Diskonteringsverktyg!$D$45="Ja",Diskonteringsverktyg!$D$46="Nej"),$E73*Diskonteringsverktyg!$D$43*Diskonteringsverktyg!$D$44,IF(AND(Diskonteringsverktyg!$D$45="Nej",Diskonteringsverktyg!$D$46="Ja"),$D73*Diskonteringsverktyg!$D$43*Diskonteringsverktyg!$D$44,Diskonteringsverktyg!$D$43*Diskonteringsverktyg!$D$44)))</f>
        <v>0</v>
      </c>
      <c r="K73" s="23">
        <f t="shared" si="3"/>
        <v>12108.149225460464</v>
      </c>
      <c r="L73" s="23">
        <f t="shared" si="4"/>
        <v>1208.0205676360849</v>
      </c>
      <c r="M73" s="23">
        <f>IF((B73&lt;=Diskonteringsverktyg!$D$16),Diskonteringsverktyg!$D$50*Diskonteringsverktyg!$D$14^(B73-Diskonteringsverktyg!$D$11),M72)</f>
        <v>2481.1008426959897</v>
      </c>
      <c r="N73" s="23">
        <f t="shared" si="5"/>
        <v>247.53748839282218</v>
      </c>
      <c r="O73" s="30"/>
    </row>
    <row r="74" spans="1:15" x14ac:dyDescent="0.2">
      <c r="A74" s="97">
        <v>68</v>
      </c>
      <c r="B74" s="88">
        <f>Diskonteringsverktyg!$D$12+A74</f>
        <v>2096</v>
      </c>
      <c r="C74" s="22">
        <f>1/(Diskonteringsverktyg!$D$9)^(B74-Diskonteringsverktyg!$D$10)</f>
        <v>9.6395378751361491E-2</v>
      </c>
      <c r="D74" s="21">
        <f>IF(B74&lt;=Diskonteringsverktyg!$D$15,Diskonteringsverktyg!$D$21^(B74-Diskonteringsverktyg!$D$24),IF(AND(B74&gt;Diskonteringsverktyg!$D$15,B74&lt;=Diskonteringsverktyg!$D$16),Diskonteringsverktyg!$D$21^(Diskonteringsverktyg!$D$15-Diskonteringsverktyg!$D$24)*Diskonteringsverktyg!$D$22^(B74-Diskonteringsverktyg!$D$15),D73))</f>
        <v>1.4311229737306663</v>
      </c>
      <c r="E74" s="21">
        <f>IF(B74&lt;=Diskonteringsverktyg!$D$16,(Diskonteringsverktyg!$D$13)^(B74-Diskonteringsverktyg!$D$23),E73)</f>
        <v>1.6921186295957242</v>
      </c>
      <c r="F74" s="23">
        <f>IF(AND(Diskonteringsverktyg!$D$29="Ja",Diskonteringsverktyg!$D$30="Ja"),$D74*$E74*Diskonteringsverktyg!$D$27*Diskonteringsverktyg!$D$28,IF(AND(Diskonteringsverktyg!$D$29="Ja",Diskonteringsverktyg!$D$30="Nej"),$E74*Diskonteringsverktyg!$D$27*Diskonteringsverktyg!$D$28,IF(AND(Diskonteringsverktyg!$D$29="Nej",Diskonteringsverktyg!$D$30="Ja"),$D74*Diskonteringsverktyg!$D$27*Diskonteringsverktyg!$D$28,Diskonteringsverktyg!$D$27*Diskonteringsverktyg!$D$28)))</f>
        <v>12108.149225460464</v>
      </c>
      <c r="G74" s="23">
        <f>IF(AND(Diskonteringsverktyg!$D$33="Ja",Diskonteringsverktyg!$D$34="Ja"),$D74*$E74*Diskonteringsverktyg!$D$31*Diskonteringsverktyg!$D$32,IF(AND(Diskonteringsverktyg!$D$33="Ja",Diskonteringsverktyg!$D$34="Nej"),$E74*Diskonteringsverktyg!$D$31*Diskonteringsverktyg!$D$32,IF(AND(Diskonteringsverktyg!$D$33="Nej",Diskonteringsverktyg!$D$34="Ja"),$D74*Diskonteringsverktyg!$D$31*Diskonteringsverktyg!$D$32,Diskonteringsverktyg!$D$31*Diskonteringsverktyg!$D$32)))</f>
        <v>0</v>
      </c>
      <c r="H74" s="23">
        <f>IF(AND(Diskonteringsverktyg!$D$37="Ja",Diskonteringsverktyg!$D$38="Ja"),$D74*$E74*Diskonteringsverktyg!$D$35*Diskonteringsverktyg!$D$36,IF(AND(Diskonteringsverktyg!$D$37="Ja",Diskonteringsverktyg!$D$38="Nej"),$E74*Diskonteringsverktyg!$D$35*Diskonteringsverktyg!$D$36,IF(AND(Diskonteringsverktyg!$D$37="Nej",Diskonteringsverktyg!$D$38="Ja"),$D74*Diskonteringsverktyg!$D$35*Diskonteringsverktyg!$D$36,Diskonteringsverktyg!$D$35*Diskonteringsverktyg!$D$36)))</f>
        <v>0</v>
      </c>
      <c r="I74" s="23">
        <f>IF(AND(Diskonteringsverktyg!$D$41="Ja",Diskonteringsverktyg!$D$42="Ja"),$D74*$E74*Diskonteringsverktyg!$D$39*Diskonteringsverktyg!$D$40,IF(AND(Diskonteringsverktyg!$D$41="Ja",Diskonteringsverktyg!$D$42="Nej"),$E74*Diskonteringsverktyg!$D$39*Diskonteringsverktyg!$D$40,IF(AND(Diskonteringsverktyg!$D$41="Nej",Diskonteringsverktyg!$D$42="Ja"),$D74*Diskonteringsverktyg!$D$39*Diskonteringsverktyg!$D$40,Diskonteringsverktyg!$D$39*Diskonteringsverktyg!$D$40)))</f>
        <v>0</v>
      </c>
      <c r="J74" s="23">
        <f>IF(AND(Diskonteringsverktyg!$D$45="Ja",Diskonteringsverktyg!$D$46="Ja"),$D74*$E74*Diskonteringsverktyg!$D$43*Diskonteringsverktyg!$D$44,IF(AND(Diskonteringsverktyg!$D$45="Ja",Diskonteringsverktyg!$D$46="Nej"),$E74*Diskonteringsverktyg!$D$43*Diskonteringsverktyg!$D$44,IF(AND(Diskonteringsverktyg!$D$45="Nej",Diskonteringsverktyg!$D$46="Ja"),$D74*Diskonteringsverktyg!$D$43*Diskonteringsverktyg!$D$44,Diskonteringsverktyg!$D$43*Diskonteringsverktyg!$D$44)))</f>
        <v>0</v>
      </c>
      <c r="K74" s="23">
        <f t="shared" si="3"/>
        <v>12108.149225460464</v>
      </c>
      <c r="L74" s="23">
        <f t="shared" si="4"/>
        <v>1167.1696305662656</v>
      </c>
      <c r="M74" s="23">
        <f>IF((B74&lt;=Diskonteringsverktyg!$D$16),Diskonteringsverktyg!$D$50*Diskonteringsverktyg!$D$14^(B74-Diskonteringsverktyg!$D$11),M73)</f>
        <v>2481.1008426959897</v>
      </c>
      <c r="N74" s="23">
        <f t="shared" si="5"/>
        <v>239.16665545200209</v>
      </c>
      <c r="O74" s="30"/>
    </row>
    <row r="75" spans="1:15" x14ac:dyDescent="0.2">
      <c r="A75" s="97">
        <v>69</v>
      </c>
      <c r="B75" s="88">
        <f>Diskonteringsverktyg!$D$12+A75</f>
        <v>2097</v>
      </c>
      <c r="C75" s="22">
        <f>1/(Diskonteringsverktyg!$D$9)^(B75-Diskonteringsverktyg!$D$10)</f>
        <v>9.3135631643827543E-2</v>
      </c>
      <c r="D75" s="21">
        <f>IF(B75&lt;=Diskonteringsverktyg!$D$15,Diskonteringsverktyg!$D$21^(B75-Diskonteringsverktyg!$D$24),IF(AND(B75&gt;Diskonteringsverktyg!$D$15,B75&lt;=Diskonteringsverktyg!$D$16),Diskonteringsverktyg!$D$21^(Diskonteringsverktyg!$D$15-Diskonteringsverktyg!$D$24)*Diskonteringsverktyg!$D$22^(B75-Diskonteringsverktyg!$D$15),D74))</f>
        <v>1.4311229737306663</v>
      </c>
      <c r="E75" s="21">
        <f>IF(B75&lt;=Diskonteringsverktyg!$D$16,(Diskonteringsverktyg!$D$13)^(B75-Diskonteringsverktyg!$D$23),E74)</f>
        <v>1.6921186295957242</v>
      </c>
      <c r="F75" s="23">
        <f>IF(AND(Diskonteringsverktyg!$D$29="Ja",Diskonteringsverktyg!$D$30="Ja"),$D75*$E75*Diskonteringsverktyg!$D$27*Diskonteringsverktyg!$D$28,IF(AND(Diskonteringsverktyg!$D$29="Ja",Diskonteringsverktyg!$D$30="Nej"),$E75*Diskonteringsverktyg!$D$27*Diskonteringsverktyg!$D$28,IF(AND(Diskonteringsverktyg!$D$29="Nej",Diskonteringsverktyg!$D$30="Ja"),$D75*Diskonteringsverktyg!$D$27*Diskonteringsverktyg!$D$28,Diskonteringsverktyg!$D$27*Diskonteringsverktyg!$D$28)))</f>
        <v>12108.149225460464</v>
      </c>
      <c r="G75" s="23">
        <f>IF(AND(Diskonteringsverktyg!$D$33="Ja",Diskonteringsverktyg!$D$34="Ja"),$D75*$E75*Diskonteringsverktyg!$D$31*Diskonteringsverktyg!$D$32,IF(AND(Diskonteringsverktyg!$D$33="Ja",Diskonteringsverktyg!$D$34="Nej"),$E75*Diskonteringsverktyg!$D$31*Diskonteringsverktyg!$D$32,IF(AND(Diskonteringsverktyg!$D$33="Nej",Diskonteringsverktyg!$D$34="Ja"),$D75*Diskonteringsverktyg!$D$31*Diskonteringsverktyg!$D$32,Diskonteringsverktyg!$D$31*Diskonteringsverktyg!$D$32)))</f>
        <v>0</v>
      </c>
      <c r="H75" s="23">
        <f>IF(AND(Diskonteringsverktyg!$D$37="Ja",Diskonteringsverktyg!$D$38="Ja"),$D75*$E75*Diskonteringsverktyg!$D$35*Diskonteringsverktyg!$D$36,IF(AND(Diskonteringsverktyg!$D$37="Ja",Diskonteringsverktyg!$D$38="Nej"),$E75*Diskonteringsverktyg!$D$35*Diskonteringsverktyg!$D$36,IF(AND(Diskonteringsverktyg!$D$37="Nej",Diskonteringsverktyg!$D$38="Ja"),$D75*Diskonteringsverktyg!$D$35*Diskonteringsverktyg!$D$36,Diskonteringsverktyg!$D$35*Diskonteringsverktyg!$D$36)))</f>
        <v>0</v>
      </c>
      <c r="I75" s="23">
        <f>IF(AND(Diskonteringsverktyg!$D$41="Ja",Diskonteringsverktyg!$D$42="Ja"),$D75*$E75*Diskonteringsverktyg!$D$39*Diskonteringsverktyg!$D$40,IF(AND(Diskonteringsverktyg!$D$41="Ja",Diskonteringsverktyg!$D$42="Nej"),$E75*Diskonteringsverktyg!$D$39*Diskonteringsverktyg!$D$40,IF(AND(Diskonteringsverktyg!$D$41="Nej",Diskonteringsverktyg!$D$42="Ja"),$D75*Diskonteringsverktyg!$D$39*Diskonteringsverktyg!$D$40,Diskonteringsverktyg!$D$39*Diskonteringsverktyg!$D$40)))</f>
        <v>0</v>
      </c>
      <c r="J75" s="23">
        <f>IF(AND(Diskonteringsverktyg!$D$45="Ja",Diskonteringsverktyg!$D$46="Ja"),$D75*$E75*Diskonteringsverktyg!$D$43*Diskonteringsverktyg!$D$44,IF(AND(Diskonteringsverktyg!$D$45="Ja",Diskonteringsverktyg!$D$46="Nej"),$E75*Diskonteringsverktyg!$D$43*Diskonteringsverktyg!$D$44,IF(AND(Diskonteringsverktyg!$D$45="Nej",Diskonteringsverktyg!$D$46="Ja"),$D75*Diskonteringsverktyg!$D$43*Diskonteringsverktyg!$D$44,Diskonteringsverktyg!$D$43*Diskonteringsverktyg!$D$44)))</f>
        <v>0</v>
      </c>
      <c r="K75" s="23">
        <f t="shared" si="3"/>
        <v>12108.149225460464</v>
      </c>
      <c r="L75" s="23">
        <f t="shared" si="4"/>
        <v>1127.7001261509815</v>
      </c>
      <c r="M75" s="23">
        <f>IF((B75&lt;=Diskonteringsverktyg!$D$16),Diskonteringsverktyg!$D$50*Diskonteringsverktyg!$D$14^(B75-Diskonteringsverktyg!$D$11),M74)</f>
        <v>2481.1008426959897</v>
      </c>
      <c r="N75" s="23">
        <f t="shared" si="5"/>
        <v>231.0788941565238</v>
      </c>
      <c r="O75" s="30"/>
    </row>
    <row r="76" spans="1:15" x14ac:dyDescent="0.2">
      <c r="A76" s="97">
        <v>70</v>
      </c>
      <c r="B76" s="88">
        <f>Diskonteringsverktyg!$D$12+A76</f>
        <v>2098</v>
      </c>
      <c r="C76" s="22">
        <f>1/(Diskonteringsverktyg!$D$9)^(B76-Diskonteringsverktyg!$D$10)</f>
        <v>8.9986117530268139E-2</v>
      </c>
      <c r="D76" s="21">
        <f>IF(B76&lt;=Diskonteringsverktyg!$D$15,Diskonteringsverktyg!$D$21^(B76-Diskonteringsverktyg!$D$24),IF(AND(B76&gt;Diskonteringsverktyg!$D$15,B76&lt;=Diskonteringsverktyg!$D$16),Diskonteringsverktyg!$D$21^(Diskonteringsverktyg!$D$15-Diskonteringsverktyg!$D$24)*Diskonteringsverktyg!$D$22^(B76-Diskonteringsverktyg!$D$15),D75))</f>
        <v>1.4311229737306663</v>
      </c>
      <c r="E76" s="21">
        <f>IF(B76&lt;=Diskonteringsverktyg!$D$16,(Diskonteringsverktyg!$D$13)^(B76-Diskonteringsverktyg!$D$23),E75)</f>
        <v>1.6921186295957242</v>
      </c>
      <c r="F76" s="23">
        <f>IF(AND(Diskonteringsverktyg!$D$29="Ja",Diskonteringsverktyg!$D$30="Ja"),$D76*$E76*Diskonteringsverktyg!$D$27*Diskonteringsverktyg!$D$28,IF(AND(Diskonteringsverktyg!$D$29="Ja",Diskonteringsverktyg!$D$30="Nej"),$E76*Diskonteringsverktyg!$D$27*Diskonteringsverktyg!$D$28,IF(AND(Diskonteringsverktyg!$D$29="Nej",Diskonteringsverktyg!$D$30="Ja"),$D76*Diskonteringsverktyg!$D$27*Diskonteringsverktyg!$D$28,Diskonteringsverktyg!$D$27*Diskonteringsverktyg!$D$28)))</f>
        <v>12108.149225460464</v>
      </c>
      <c r="G76" s="23">
        <f>IF(AND(Diskonteringsverktyg!$D$33="Ja",Diskonteringsverktyg!$D$34="Ja"),$D76*$E76*Diskonteringsverktyg!$D$31*Diskonteringsverktyg!$D$32,IF(AND(Diskonteringsverktyg!$D$33="Ja",Diskonteringsverktyg!$D$34="Nej"),$E76*Diskonteringsverktyg!$D$31*Diskonteringsverktyg!$D$32,IF(AND(Diskonteringsverktyg!$D$33="Nej",Diskonteringsverktyg!$D$34="Ja"),$D76*Diskonteringsverktyg!$D$31*Diskonteringsverktyg!$D$32,Diskonteringsverktyg!$D$31*Diskonteringsverktyg!$D$32)))</f>
        <v>0</v>
      </c>
      <c r="H76" s="23">
        <f>IF(AND(Diskonteringsverktyg!$D$37="Ja",Diskonteringsverktyg!$D$38="Ja"),$D76*$E76*Diskonteringsverktyg!$D$35*Diskonteringsverktyg!$D$36,IF(AND(Diskonteringsverktyg!$D$37="Ja",Diskonteringsverktyg!$D$38="Nej"),$E76*Diskonteringsverktyg!$D$35*Diskonteringsverktyg!$D$36,IF(AND(Diskonteringsverktyg!$D$37="Nej",Diskonteringsverktyg!$D$38="Ja"),$D76*Diskonteringsverktyg!$D$35*Diskonteringsverktyg!$D$36,Diskonteringsverktyg!$D$35*Diskonteringsverktyg!$D$36)))</f>
        <v>0</v>
      </c>
      <c r="I76" s="23">
        <f>IF(AND(Diskonteringsverktyg!$D$41="Ja",Diskonteringsverktyg!$D$42="Ja"),$D76*$E76*Diskonteringsverktyg!$D$39*Diskonteringsverktyg!$D$40,IF(AND(Diskonteringsverktyg!$D$41="Ja",Diskonteringsverktyg!$D$42="Nej"),$E76*Diskonteringsverktyg!$D$39*Diskonteringsverktyg!$D$40,IF(AND(Diskonteringsverktyg!$D$41="Nej",Diskonteringsverktyg!$D$42="Ja"),$D76*Diskonteringsverktyg!$D$39*Diskonteringsverktyg!$D$40,Diskonteringsverktyg!$D$39*Diskonteringsverktyg!$D$40)))</f>
        <v>0</v>
      </c>
      <c r="J76" s="23">
        <f>IF(AND(Diskonteringsverktyg!$D$45="Ja",Diskonteringsverktyg!$D$46="Ja"),$D76*$E76*Diskonteringsverktyg!$D$43*Diskonteringsverktyg!$D$44,IF(AND(Diskonteringsverktyg!$D$45="Ja",Diskonteringsverktyg!$D$46="Nej"),$E76*Diskonteringsverktyg!$D$43*Diskonteringsverktyg!$D$44,IF(AND(Diskonteringsverktyg!$D$45="Nej",Diskonteringsverktyg!$D$46="Ja"),$D76*Diskonteringsverktyg!$D$43*Diskonteringsverktyg!$D$44,Diskonteringsverktyg!$D$43*Diskonteringsverktyg!$D$44)))</f>
        <v>0</v>
      </c>
      <c r="K76" s="23">
        <f t="shared" si="3"/>
        <v>12108.149225460464</v>
      </c>
      <c r="L76" s="23">
        <f t="shared" si="4"/>
        <v>1089.5653392763104</v>
      </c>
      <c r="M76" s="23">
        <f>IF((B76&lt;=Diskonteringsverktyg!$D$16),Diskonteringsverktyg!$D$50*Diskonteringsverktyg!$D$14^(B76-Diskonteringsverktyg!$D$11),M75)</f>
        <v>2481.1008426959897</v>
      </c>
      <c r="N76" s="23">
        <f t="shared" si="5"/>
        <v>223.26463203528866</v>
      </c>
      <c r="O76" s="30"/>
    </row>
    <row r="77" spans="1:15" x14ac:dyDescent="0.2">
      <c r="A77" s="97">
        <v>71</v>
      </c>
      <c r="B77" s="88">
        <f>Diskonteringsverktyg!$D$12+A77</f>
        <v>2099</v>
      </c>
      <c r="C77" s="22">
        <f>1/(Diskonteringsverktyg!$D$9)^(B77-Diskonteringsverktyg!$D$10)</f>
        <v>8.6943108724896773E-2</v>
      </c>
      <c r="D77" s="21">
        <f>IF(B77&lt;=Diskonteringsverktyg!$D$15,Diskonteringsverktyg!$D$21^(B77-Diskonteringsverktyg!$D$24),IF(AND(B77&gt;Diskonteringsverktyg!$D$15,B77&lt;=Diskonteringsverktyg!$D$16),Diskonteringsverktyg!$D$21^(Diskonteringsverktyg!$D$15-Diskonteringsverktyg!$D$24)*Diskonteringsverktyg!$D$22^(B77-Diskonteringsverktyg!$D$15),D76))</f>
        <v>1.4311229737306663</v>
      </c>
      <c r="E77" s="21">
        <f>IF(B77&lt;=Diskonteringsverktyg!$D$16,(Diskonteringsverktyg!$D$13)^(B77-Diskonteringsverktyg!$D$23),E76)</f>
        <v>1.6921186295957242</v>
      </c>
      <c r="F77" s="23">
        <f>IF(AND(Diskonteringsverktyg!$D$29="Ja",Diskonteringsverktyg!$D$30="Ja"),$D77*$E77*Diskonteringsverktyg!$D$27*Diskonteringsverktyg!$D$28,IF(AND(Diskonteringsverktyg!$D$29="Ja",Diskonteringsverktyg!$D$30="Nej"),$E77*Diskonteringsverktyg!$D$27*Diskonteringsverktyg!$D$28,IF(AND(Diskonteringsverktyg!$D$29="Nej",Diskonteringsverktyg!$D$30="Ja"),$D77*Diskonteringsverktyg!$D$27*Diskonteringsverktyg!$D$28,Diskonteringsverktyg!$D$27*Diskonteringsverktyg!$D$28)))</f>
        <v>12108.149225460464</v>
      </c>
      <c r="G77" s="23">
        <f>IF(AND(Diskonteringsverktyg!$D$33="Ja",Diskonteringsverktyg!$D$34="Ja"),$D77*$E77*Diskonteringsverktyg!$D$31*Diskonteringsverktyg!$D$32,IF(AND(Diskonteringsverktyg!$D$33="Ja",Diskonteringsverktyg!$D$34="Nej"),$E77*Diskonteringsverktyg!$D$31*Diskonteringsverktyg!$D$32,IF(AND(Diskonteringsverktyg!$D$33="Nej",Diskonteringsverktyg!$D$34="Ja"),$D77*Diskonteringsverktyg!$D$31*Diskonteringsverktyg!$D$32,Diskonteringsverktyg!$D$31*Diskonteringsverktyg!$D$32)))</f>
        <v>0</v>
      </c>
      <c r="H77" s="23">
        <f>IF(AND(Diskonteringsverktyg!$D$37="Ja",Diskonteringsverktyg!$D$38="Ja"),$D77*$E77*Diskonteringsverktyg!$D$35*Diskonteringsverktyg!$D$36,IF(AND(Diskonteringsverktyg!$D$37="Ja",Diskonteringsverktyg!$D$38="Nej"),$E77*Diskonteringsverktyg!$D$35*Diskonteringsverktyg!$D$36,IF(AND(Diskonteringsverktyg!$D$37="Nej",Diskonteringsverktyg!$D$38="Ja"),$D77*Diskonteringsverktyg!$D$35*Diskonteringsverktyg!$D$36,Diskonteringsverktyg!$D$35*Diskonteringsverktyg!$D$36)))</f>
        <v>0</v>
      </c>
      <c r="I77" s="23">
        <f>IF(AND(Diskonteringsverktyg!$D$41="Ja",Diskonteringsverktyg!$D$42="Ja"),$D77*$E77*Diskonteringsverktyg!$D$39*Diskonteringsverktyg!$D$40,IF(AND(Diskonteringsverktyg!$D$41="Ja",Diskonteringsverktyg!$D$42="Nej"),$E77*Diskonteringsverktyg!$D$39*Diskonteringsverktyg!$D$40,IF(AND(Diskonteringsverktyg!$D$41="Nej",Diskonteringsverktyg!$D$42="Ja"),$D77*Diskonteringsverktyg!$D$39*Diskonteringsverktyg!$D$40,Diskonteringsverktyg!$D$39*Diskonteringsverktyg!$D$40)))</f>
        <v>0</v>
      </c>
      <c r="J77" s="23">
        <f>IF(AND(Diskonteringsverktyg!$D$45="Ja",Diskonteringsverktyg!$D$46="Ja"),$D77*$E77*Diskonteringsverktyg!$D$43*Diskonteringsverktyg!$D$44,IF(AND(Diskonteringsverktyg!$D$45="Ja",Diskonteringsverktyg!$D$46="Nej"),$E77*Diskonteringsverktyg!$D$43*Diskonteringsverktyg!$D$44,IF(AND(Diskonteringsverktyg!$D$45="Nej",Diskonteringsverktyg!$D$46="Ja"),$D77*Diskonteringsverktyg!$D$43*Diskonteringsverktyg!$D$44,Diskonteringsverktyg!$D$43*Diskonteringsverktyg!$D$44)))</f>
        <v>0</v>
      </c>
      <c r="K77" s="23">
        <f t="shared" si="3"/>
        <v>12108.149225460464</v>
      </c>
      <c r="L77" s="23">
        <f t="shared" si="4"/>
        <v>1052.7201345664837</v>
      </c>
      <c r="M77" s="23">
        <f>IF((B77&lt;=Diskonteringsverktyg!$D$16),Diskonteringsverktyg!$D$50*Diskonteringsverktyg!$D$14^(B77-Diskonteringsverktyg!$D$11),M76)</f>
        <v>2481.1008426959897</v>
      </c>
      <c r="N77" s="23">
        <f t="shared" si="5"/>
        <v>215.71462032395044</v>
      </c>
      <c r="O77" s="30"/>
    </row>
    <row r="78" spans="1:15" x14ac:dyDescent="0.2">
      <c r="A78" s="97">
        <v>72</v>
      </c>
      <c r="B78" s="88">
        <f>Diskonteringsverktyg!$D$12+A78</f>
        <v>2100</v>
      </c>
      <c r="C78" s="22">
        <f>1/(Diskonteringsverktyg!$D$9)^(B78-Diskonteringsverktyg!$D$10)</f>
        <v>8.400300359893409E-2</v>
      </c>
      <c r="D78" s="21">
        <f>IF(B78&lt;=Diskonteringsverktyg!$D$15,Diskonteringsverktyg!$D$21^(B78-Diskonteringsverktyg!$D$24),IF(AND(B78&gt;Diskonteringsverktyg!$D$15,B78&lt;=Diskonteringsverktyg!$D$16),Diskonteringsverktyg!$D$21^(Diskonteringsverktyg!$D$15-Diskonteringsverktyg!$D$24)*Diskonteringsverktyg!$D$22^(B78-Diskonteringsverktyg!$D$15),D77))</f>
        <v>1.4311229737306663</v>
      </c>
      <c r="E78" s="21">
        <f>IF(B78&lt;=Diskonteringsverktyg!$D$16,(Diskonteringsverktyg!$D$13)^(B78-Diskonteringsverktyg!$D$23),E77)</f>
        <v>1.6921186295957242</v>
      </c>
      <c r="F78" s="23">
        <f>IF(AND(Diskonteringsverktyg!$D$29="Ja",Diskonteringsverktyg!$D$30="Ja"),$D78*$E78*Diskonteringsverktyg!$D$27*Diskonteringsverktyg!$D$28,IF(AND(Diskonteringsverktyg!$D$29="Ja",Diskonteringsverktyg!$D$30="Nej"),$E78*Diskonteringsverktyg!$D$27*Diskonteringsverktyg!$D$28,IF(AND(Diskonteringsverktyg!$D$29="Nej",Diskonteringsverktyg!$D$30="Ja"),$D78*Diskonteringsverktyg!$D$27*Diskonteringsverktyg!$D$28,Diskonteringsverktyg!$D$27*Diskonteringsverktyg!$D$28)))</f>
        <v>12108.149225460464</v>
      </c>
      <c r="G78" s="23">
        <f>IF(AND(Diskonteringsverktyg!$D$33="Ja",Diskonteringsverktyg!$D$34="Ja"),$D78*$E78*Diskonteringsverktyg!$D$31*Diskonteringsverktyg!$D$32,IF(AND(Diskonteringsverktyg!$D$33="Ja",Diskonteringsverktyg!$D$34="Nej"),$E78*Diskonteringsverktyg!$D$31*Diskonteringsverktyg!$D$32,IF(AND(Diskonteringsverktyg!$D$33="Nej",Diskonteringsverktyg!$D$34="Ja"),$D78*Diskonteringsverktyg!$D$31*Diskonteringsverktyg!$D$32,Diskonteringsverktyg!$D$31*Diskonteringsverktyg!$D$32)))</f>
        <v>0</v>
      </c>
      <c r="H78" s="23">
        <f>IF(AND(Diskonteringsverktyg!$D$37="Ja",Diskonteringsverktyg!$D$38="Ja"),$D78*$E78*Diskonteringsverktyg!$D$35*Diskonteringsverktyg!$D$36,IF(AND(Diskonteringsverktyg!$D$37="Ja",Diskonteringsverktyg!$D$38="Nej"),$E78*Diskonteringsverktyg!$D$35*Diskonteringsverktyg!$D$36,IF(AND(Diskonteringsverktyg!$D$37="Nej",Diskonteringsverktyg!$D$38="Ja"),$D78*Diskonteringsverktyg!$D$35*Diskonteringsverktyg!$D$36,Diskonteringsverktyg!$D$35*Diskonteringsverktyg!$D$36)))</f>
        <v>0</v>
      </c>
      <c r="I78" s="23">
        <f>IF(AND(Diskonteringsverktyg!$D$41="Ja",Diskonteringsverktyg!$D$42="Ja"),$D78*$E78*Diskonteringsverktyg!$D$39*Diskonteringsverktyg!$D$40,IF(AND(Diskonteringsverktyg!$D$41="Ja",Diskonteringsverktyg!$D$42="Nej"),$E78*Diskonteringsverktyg!$D$39*Diskonteringsverktyg!$D$40,IF(AND(Diskonteringsverktyg!$D$41="Nej",Diskonteringsverktyg!$D$42="Ja"),$D78*Diskonteringsverktyg!$D$39*Diskonteringsverktyg!$D$40,Diskonteringsverktyg!$D$39*Diskonteringsverktyg!$D$40)))</f>
        <v>0</v>
      </c>
      <c r="J78" s="23">
        <f>IF(AND(Diskonteringsverktyg!$D$45="Ja",Diskonteringsverktyg!$D$46="Ja"),$D78*$E78*Diskonteringsverktyg!$D$43*Diskonteringsverktyg!$D$44,IF(AND(Diskonteringsverktyg!$D$45="Ja",Diskonteringsverktyg!$D$46="Nej"),$E78*Diskonteringsverktyg!$D$43*Diskonteringsverktyg!$D$44,IF(AND(Diskonteringsverktyg!$D$45="Nej",Diskonteringsverktyg!$D$46="Ja"),$D78*Diskonteringsverktyg!$D$43*Diskonteringsverktyg!$D$44,Diskonteringsverktyg!$D$43*Diskonteringsverktyg!$D$44)))</f>
        <v>0</v>
      </c>
      <c r="K78" s="23">
        <f t="shared" si="3"/>
        <v>12108.149225460464</v>
      </c>
      <c r="L78" s="23">
        <f t="shared" si="4"/>
        <v>1017.1209029627863</v>
      </c>
      <c r="M78" s="23">
        <f>IF((B78&lt;=Diskonteringsverktyg!$D$16),Diskonteringsverktyg!$D$50*Diskonteringsverktyg!$D$14^(B78-Diskonteringsverktyg!$D$11),M77)</f>
        <v>2481.1008426959897</v>
      </c>
      <c r="N78" s="23">
        <f t="shared" si="5"/>
        <v>208.41992301830962</v>
      </c>
      <c r="O78" s="30"/>
    </row>
    <row r="79" spans="1:15" x14ac:dyDescent="0.2">
      <c r="A79" s="97">
        <v>73</v>
      </c>
      <c r="B79" s="88">
        <f>Diskonteringsverktyg!$D$12+A79</f>
        <v>2101</v>
      </c>
      <c r="C79" s="22">
        <f>1/(Diskonteringsverktyg!$D$9)^(B79-Diskonteringsverktyg!$D$10)</f>
        <v>8.1162322317810731E-2</v>
      </c>
      <c r="D79" s="21">
        <f>IF(B79&lt;=Diskonteringsverktyg!$D$15,Diskonteringsverktyg!$D$21^(B79-Diskonteringsverktyg!$D$24),IF(AND(B79&gt;Diskonteringsverktyg!$D$15,B79&lt;=Diskonteringsverktyg!$D$16),Diskonteringsverktyg!$D$21^(Diskonteringsverktyg!$D$15-Diskonteringsverktyg!$D$24)*Diskonteringsverktyg!$D$22^(B79-Diskonteringsverktyg!$D$15),D78))</f>
        <v>1.4311229737306663</v>
      </c>
      <c r="E79" s="21">
        <f>IF(B79&lt;=Diskonteringsverktyg!$D$16,(Diskonteringsverktyg!$D$13)^(B79-Diskonteringsverktyg!$D$23),E78)</f>
        <v>1.6921186295957242</v>
      </c>
      <c r="F79" s="23">
        <f>IF(AND(Diskonteringsverktyg!$D$29="Ja",Diskonteringsverktyg!$D$30="Ja"),$D79*$E79*Diskonteringsverktyg!$D$27*Diskonteringsverktyg!$D$28,IF(AND(Diskonteringsverktyg!$D$29="Ja",Diskonteringsverktyg!$D$30="Nej"),$E79*Diskonteringsverktyg!$D$27*Diskonteringsverktyg!$D$28,IF(AND(Diskonteringsverktyg!$D$29="Nej",Diskonteringsverktyg!$D$30="Ja"),$D79*Diskonteringsverktyg!$D$27*Diskonteringsverktyg!$D$28,Diskonteringsverktyg!$D$27*Diskonteringsverktyg!$D$28)))</f>
        <v>12108.149225460464</v>
      </c>
      <c r="G79" s="23">
        <f>IF(AND(Diskonteringsverktyg!$D$33="Ja",Diskonteringsverktyg!$D$34="Ja"),$D79*$E79*Diskonteringsverktyg!$D$31*Diskonteringsverktyg!$D$32,IF(AND(Diskonteringsverktyg!$D$33="Ja",Diskonteringsverktyg!$D$34="Nej"),$E79*Diskonteringsverktyg!$D$31*Diskonteringsverktyg!$D$32,IF(AND(Diskonteringsverktyg!$D$33="Nej",Diskonteringsverktyg!$D$34="Ja"),$D79*Diskonteringsverktyg!$D$31*Diskonteringsverktyg!$D$32,Diskonteringsverktyg!$D$31*Diskonteringsverktyg!$D$32)))</f>
        <v>0</v>
      </c>
      <c r="H79" s="23">
        <f>IF(AND(Diskonteringsverktyg!$D$37="Ja",Diskonteringsverktyg!$D$38="Ja"),$D79*$E79*Diskonteringsverktyg!$D$35*Diskonteringsverktyg!$D$36,IF(AND(Diskonteringsverktyg!$D$37="Ja",Diskonteringsverktyg!$D$38="Nej"),$E79*Diskonteringsverktyg!$D$35*Diskonteringsverktyg!$D$36,IF(AND(Diskonteringsverktyg!$D$37="Nej",Diskonteringsverktyg!$D$38="Ja"),$D79*Diskonteringsverktyg!$D$35*Diskonteringsverktyg!$D$36,Diskonteringsverktyg!$D$35*Diskonteringsverktyg!$D$36)))</f>
        <v>0</v>
      </c>
      <c r="I79" s="23">
        <f>IF(AND(Diskonteringsverktyg!$D$41="Ja",Diskonteringsverktyg!$D$42="Ja"),$D79*$E79*Diskonteringsverktyg!$D$39*Diskonteringsverktyg!$D$40,IF(AND(Diskonteringsverktyg!$D$41="Ja",Diskonteringsverktyg!$D$42="Nej"),$E79*Diskonteringsverktyg!$D$39*Diskonteringsverktyg!$D$40,IF(AND(Diskonteringsverktyg!$D$41="Nej",Diskonteringsverktyg!$D$42="Ja"),$D79*Diskonteringsverktyg!$D$39*Diskonteringsverktyg!$D$40,Diskonteringsverktyg!$D$39*Diskonteringsverktyg!$D$40)))</f>
        <v>0</v>
      </c>
      <c r="J79" s="23">
        <f>IF(AND(Diskonteringsverktyg!$D$45="Ja",Diskonteringsverktyg!$D$46="Ja"),$D79*$E79*Diskonteringsverktyg!$D$43*Diskonteringsverktyg!$D$44,IF(AND(Diskonteringsverktyg!$D$45="Ja",Diskonteringsverktyg!$D$46="Nej"),$E79*Diskonteringsverktyg!$D$43*Diskonteringsverktyg!$D$44,IF(AND(Diskonteringsverktyg!$D$45="Nej",Diskonteringsverktyg!$D$46="Ja"),$D79*Diskonteringsverktyg!$D$43*Diskonteringsverktyg!$D$44,Diskonteringsverktyg!$D$43*Diskonteringsverktyg!$D$44)))</f>
        <v>0</v>
      </c>
      <c r="K79" s="23">
        <f t="shared" si="3"/>
        <v>12108.149225460464</v>
      </c>
      <c r="L79" s="23">
        <f t="shared" si="4"/>
        <v>982.72551010897246</v>
      </c>
      <c r="M79" s="23">
        <f>IF((B79&lt;=Diskonteringsverktyg!$D$16),Diskonteringsverktyg!$D$50*Diskonteringsverktyg!$D$14^(B79-Diskonteringsverktyg!$D$11),M78)</f>
        <v>2481.1008426959897</v>
      </c>
      <c r="N79" s="23">
        <f t="shared" si="5"/>
        <v>201.37190629788375</v>
      </c>
      <c r="O79" s="30"/>
    </row>
    <row r="80" spans="1:15" x14ac:dyDescent="0.2">
      <c r="A80" s="97">
        <v>74</v>
      </c>
      <c r="B80" s="88">
        <f>Diskonteringsverktyg!$D$12+A80</f>
        <v>2102</v>
      </c>
      <c r="C80" s="22">
        <f>1/(Diskonteringsverktyg!$D$9)^(B80-Diskonteringsverktyg!$D$10)</f>
        <v>7.841770272252245E-2</v>
      </c>
      <c r="D80" s="21">
        <f>IF(B80&lt;=Diskonteringsverktyg!$D$15,Diskonteringsverktyg!$D$21^(B80-Diskonteringsverktyg!$D$24),IF(AND(B80&gt;Diskonteringsverktyg!$D$15,B80&lt;=Diskonteringsverktyg!$D$16),Diskonteringsverktyg!$D$21^(Diskonteringsverktyg!$D$15-Diskonteringsverktyg!$D$24)*Diskonteringsverktyg!$D$22^(B80-Diskonteringsverktyg!$D$15),D79))</f>
        <v>1.4311229737306663</v>
      </c>
      <c r="E80" s="21">
        <f>IF(B80&lt;=Diskonteringsverktyg!$D$16,(Diskonteringsverktyg!$D$13)^(B80-Diskonteringsverktyg!$D$23),E79)</f>
        <v>1.6921186295957242</v>
      </c>
      <c r="F80" s="23">
        <f>IF(AND(Diskonteringsverktyg!$D$29="Ja",Diskonteringsverktyg!$D$30="Ja"),$D80*$E80*Diskonteringsverktyg!$D$27*Diskonteringsverktyg!$D$28,IF(AND(Diskonteringsverktyg!$D$29="Ja",Diskonteringsverktyg!$D$30="Nej"),$E80*Diskonteringsverktyg!$D$27*Diskonteringsverktyg!$D$28,IF(AND(Diskonteringsverktyg!$D$29="Nej",Diskonteringsverktyg!$D$30="Ja"),$D80*Diskonteringsverktyg!$D$27*Diskonteringsverktyg!$D$28,Diskonteringsverktyg!$D$27*Diskonteringsverktyg!$D$28)))</f>
        <v>12108.149225460464</v>
      </c>
      <c r="G80" s="23">
        <f>IF(AND(Diskonteringsverktyg!$D$33="Ja",Diskonteringsverktyg!$D$34="Ja"),$D80*$E80*Diskonteringsverktyg!$D$31*Diskonteringsverktyg!$D$32,IF(AND(Diskonteringsverktyg!$D$33="Ja",Diskonteringsverktyg!$D$34="Nej"),$E80*Diskonteringsverktyg!$D$31*Diskonteringsverktyg!$D$32,IF(AND(Diskonteringsverktyg!$D$33="Nej",Diskonteringsverktyg!$D$34="Ja"),$D80*Diskonteringsverktyg!$D$31*Diskonteringsverktyg!$D$32,Diskonteringsverktyg!$D$31*Diskonteringsverktyg!$D$32)))</f>
        <v>0</v>
      </c>
      <c r="H80" s="23">
        <f>IF(AND(Diskonteringsverktyg!$D$37="Ja",Diskonteringsverktyg!$D$38="Ja"),$D80*$E80*Diskonteringsverktyg!$D$35*Diskonteringsverktyg!$D$36,IF(AND(Diskonteringsverktyg!$D$37="Ja",Diskonteringsverktyg!$D$38="Nej"),$E80*Diskonteringsverktyg!$D$35*Diskonteringsverktyg!$D$36,IF(AND(Diskonteringsverktyg!$D$37="Nej",Diskonteringsverktyg!$D$38="Ja"),$D80*Diskonteringsverktyg!$D$35*Diskonteringsverktyg!$D$36,Diskonteringsverktyg!$D$35*Diskonteringsverktyg!$D$36)))</f>
        <v>0</v>
      </c>
      <c r="I80" s="23">
        <f>IF(AND(Diskonteringsverktyg!$D$41="Ja",Diskonteringsverktyg!$D$42="Ja"),$D80*$E80*Diskonteringsverktyg!$D$39*Diskonteringsverktyg!$D$40,IF(AND(Diskonteringsverktyg!$D$41="Ja",Diskonteringsverktyg!$D$42="Nej"),$E80*Diskonteringsverktyg!$D$39*Diskonteringsverktyg!$D$40,IF(AND(Diskonteringsverktyg!$D$41="Nej",Diskonteringsverktyg!$D$42="Ja"),$D80*Diskonteringsverktyg!$D$39*Diskonteringsverktyg!$D$40,Diskonteringsverktyg!$D$39*Diskonteringsverktyg!$D$40)))</f>
        <v>0</v>
      </c>
      <c r="J80" s="23">
        <f>IF(AND(Diskonteringsverktyg!$D$45="Ja",Diskonteringsverktyg!$D$46="Ja"),$D80*$E80*Diskonteringsverktyg!$D$43*Diskonteringsverktyg!$D$44,IF(AND(Diskonteringsverktyg!$D$45="Ja",Diskonteringsverktyg!$D$46="Nej"),$E80*Diskonteringsverktyg!$D$43*Diskonteringsverktyg!$D$44,IF(AND(Diskonteringsverktyg!$D$45="Nej",Diskonteringsverktyg!$D$46="Ja"),$D80*Diskonteringsverktyg!$D$43*Diskonteringsverktyg!$D$44,Diskonteringsverktyg!$D$43*Diskonteringsverktyg!$D$44)))</f>
        <v>0</v>
      </c>
      <c r="K80" s="23">
        <f t="shared" si="3"/>
        <v>12108.149225460464</v>
      </c>
      <c r="L80" s="23">
        <f t="shared" si="4"/>
        <v>949.49324648209915</v>
      </c>
      <c r="M80" s="23">
        <f>IF((B80&lt;=Diskonteringsverktyg!$D$16),Diskonteringsverktyg!$D$50*Diskonteringsverktyg!$D$14^(B80-Diskonteringsverktyg!$D$11),M79)</f>
        <v>2481.1008426959897</v>
      </c>
      <c r="N80" s="23">
        <f t="shared" si="5"/>
        <v>194.56222830713406</v>
      </c>
      <c r="O80" s="30"/>
    </row>
    <row r="81" spans="1:15" x14ac:dyDescent="0.2">
      <c r="A81" s="97">
        <v>75</v>
      </c>
      <c r="B81" s="88">
        <f>Diskonteringsverktyg!$D$12+A81</f>
        <v>2103</v>
      </c>
      <c r="C81" s="22">
        <f>1/(Diskonteringsverktyg!$D$9)^(B81-Diskonteringsverktyg!$D$10)</f>
        <v>7.5765896350263234E-2</v>
      </c>
      <c r="D81" s="21">
        <f>IF(B81&lt;=Diskonteringsverktyg!$D$15,Diskonteringsverktyg!$D$21^(B81-Diskonteringsverktyg!$D$24),IF(AND(B81&gt;Diskonteringsverktyg!$D$15,B81&lt;=Diskonteringsverktyg!$D$16),Diskonteringsverktyg!$D$21^(Diskonteringsverktyg!$D$15-Diskonteringsverktyg!$D$24)*Diskonteringsverktyg!$D$22^(B81-Diskonteringsverktyg!$D$15),D80))</f>
        <v>1.4311229737306663</v>
      </c>
      <c r="E81" s="21">
        <f>IF(B81&lt;=Diskonteringsverktyg!$D$16,(Diskonteringsverktyg!$D$13)^(B81-Diskonteringsverktyg!$D$23),E80)</f>
        <v>1.6921186295957242</v>
      </c>
      <c r="F81" s="23">
        <f>IF(AND(Diskonteringsverktyg!$D$29="Ja",Diskonteringsverktyg!$D$30="Ja"),$D81*$E81*Diskonteringsverktyg!$D$27*Diskonteringsverktyg!$D$28,IF(AND(Diskonteringsverktyg!$D$29="Ja",Diskonteringsverktyg!$D$30="Nej"),$E81*Diskonteringsverktyg!$D$27*Diskonteringsverktyg!$D$28,IF(AND(Diskonteringsverktyg!$D$29="Nej",Diskonteringsverktyg!$D$30="Ja"),$D81*Diskonteringsverktyg!$D$27*Diskonteringsverktyg!$D$28,Diskonteringsverktyg!$D$27*Diskonteringsverktyg!$D$28)))</f>
        <v>12108.149225460464</v>
      </c>
      <c r="G81" s="23">
        <f>IF(AND(Diskonteringsverktyg!$D$33="Ja",Diskonteringsverktyg!$D$34="Ja"),$D81*$E81*Diskonteringsverktyg!$D$31*Diskonteringsverktyg!$D$32,IF(AND(Diskonteringsverktyg!$D$33="Ja",Diskonteringsverktyg!$D$34="Nej"),$E81*Diskonteringsverktyg!$D$31*Diskonteringsverktyg!$D$32,IF(AND(Diskonteringsverktyg!$D$33="Nej",Diskonteringsverktyg!$D$34="Ja"),$D81*Diskonteringsverktyg!$D$31*Diskonteringsverktyg!$D$32,Diskonteringsverktyg!$D$31*Diskonteringsverktyg!$D$32)))</f>
        <v>0</v>
      </c>
      <c r="H81" s="23">
        <f>IF(AND(Diskonteringsverktyg!$D$37="Ja",Diskonteringsverktyg!$D$38="Ja"),$D81*$E81*Diskonteringsverktyg!$D$35*Diskonteringsverktyg!$D$36,IF(AND(Diskonteringsverktyg!$D$37="Ja",Diskonteringsverktyg!$D$38="Nej"),$E81*Diskonteringsverktyg!$D$35*Diskonteringsverktyg!$D$36,IF(AND(Diskonteringsverktyg!$D$37="Nej",Diskonteringsverktyg!$D$38="Ja"),$D81*Diskonteringsverktyg!$D$35*Diskonteringsverktyg!$D$36,Diskonteringsverktyg!$D$35*Diskonteringsverktyg!$D$36)))</f>
        <v>0</v>
      </c>
      <c r="I81" s="23">
        <f>IF(AND(Diskonteringsverktyg!$D$41="Ja",Diskonteringsverktyg!$D$42="Ja"),$D81*$E81*Diskonteringsverktyg!$D$39*Diskonteringsverktyg!$D$40,IF(AND(Diskonteringsverktyg!$D$41="Ja",Diskonteringsverktyg!$D$42="Nej"),$E81*Diskonteringsverktyg!$D$39*Diskonteringsverktyg!$D$40,IF(AND(Diskonteringsverktyg!$D$41="Nej",Diskonteringsverktyg!$D$42="Ja"),$D81*Diskonteringsverktyg!$D$39*Diskonteringsverktyg!$D$40,Diskonteringsverktyg!$D$39*Diskonteringsverktyg!$D$40)))</f>
        <v>0</v>
      </c>
      <c r="J81" s="23">
        <f>IF(AND(Diskonteringsverktyg!$D$45="Ja",Diskonteringsverktyg!$D$46="Ja"),$D81*$E81*Diskonteringsverktyg!$D$43*Diskonteringsverktyg!$D$44,IF(AND(Diskonteringsverktyg!$D$45="Ja",Diskonteringsverktyg!$D$46="Nej"),$E81*Diskonteringsverktyg!$D$43*Diskonteringsverktyg!$D$44,IF(AND(Diskonteringsverktyg!$D$45="Nej",Diskonteringsverktyg!$D$46="Ja"),$D81*Diskonteringsverktyg!$D$43*Diskonteringsverktyg!$D$44,Diskonteringsverktyg!$D$43*Diskonteringsverktyg!$D$44)))</f>
        <v>0</v>
      </c>
      <c r="K81" s="23">
        <f t="shared" si="3"/>
        <v>12108.149225460464</v>
      </c>
      <c r="L81" s="23">
        <f t="shared" si="4"/>
        <v>917.38477920975754</v>
      </c>
      <c r="M81" s="23">
        <f>IF((B81&lt;=Diskonteringsverktyg!$D$16),Diskonteringsverktyg!$D$50*Diskonteringsverktyg!$D$14^(B81-Diskonteringsverktyg!$D$11),M80)</f>
        <v>2481.1008426959897</v>
      </c>
      <c r="N81" s="23">
        <f t="shared" si="5"/>
        <v>187.98282928225512</v>
      </c>
      <c r="O81" s="30"/>
    </row>
    <row r="82" spans="1:15" x14ac:dyDescent="0.2">
      <c r="A82" s="97">
        <v>76</v>
      </c>
      <c r="B82" s="88">
        <f>Diskonteringsverktyg!$D$12+A82</f>
        <v>2104</v>
      </c>
      <c r="C82" s="22">
        <f>1/(Diskonteringsverktyg!$D$9)^(B82-Diskonteringsverktyg!$D$10)</f>
        <v>7.3203764589626324E-2</v>
      </c>
      <c r="D82" s="21">
        <f>IF(B82&lt;=Diskonteringsverktyg!$D$15,Diskonteringsverktyg!$D$21^(B82-Diskonteringsverktyg!$D$24),IF(AND(B82&gt;Diskonteringsverktyg!$D$15,B82&lt;=Diskonteringsverktyg!$D$16),Diskonteringsverktyg!$D$21^(Diskonteringsverktyg!$D$15-Diskonteringsverktyg!$D$24)*Diskonteringsverktyg!$D$22^(B82-Diskonteringsverktyg!$D$15),D81))</f>
        <v>1.4311229737306663</v>
      </c>
      <c r="E82" s="21">
        <f>IF(B82&lt;=Diskonteringsverktyg!$D$16,(Diskonteringsverktyg!$D$13)^(B82-Diskonteringsverktyg!$D$23),E81)</f>
        <v>1.6921186295957242</v>
      </c>
      <c r="F82" s="23">
        <f>IF(AND(Diskonteringsverktyg!$D$29="Ja",Diskonteringsverktyg!$D$30="Ja"),$D82*$E82*Diskonteringsverktyg!$D$27*Diskonteringsverktyg!$D$28,IF(AND(Diskonteringsverktyg!$D$29="Ja",Diskonteringsverktyg!$D$30="Nej"),$E82*Diskonteringsverktyg!$D$27*Diskonteringsverktyg!$D$28,IF(AND(Diskonteringsverktyg!$D$29="Nej",Diskonteringsverktyg!$D$30="Ja"),$D82*Diskonteringsverktyg!$D$27*Diskonteringsverktyg!$D$28,Diskonteringsverktyg!$D$27*Diskonteringsverktyg!$D$28)))</f>
        <v>12108.149225460464</v>
      </c>
      <c r="G82" s="23">
        <f>IF(AND(Diskonteringsverktyg!$D$33="Ja",Diskonteringsverktyg!$D$34="Ja"),$D82*$E82*Diskonteringsverktyg!$D$31*Diskonteringsverktyg!$D$32,IF(AND(Diskonteringsverktyg!$D$33="Ja",Diskonteringsverktyg!$D$34="Nej"),$E82*Diskonteringsverktyg!$D$31*Diskonteringsverktyg!$D$32,IF(AND(Diskonteringsverktyg!$D$33="Nej",Diskonteringsverktyg!$D$34="Ja"),$D82*Diskonteringsverktyg!$D$31*Diskonteringsverktyg!$D$32,Diskonteringsverktyg!$D$31*Diskonteringsverktyg!$D$32)))</f>
        <v>0</v>
      </c>
      <c r="H82" s="23">
        <f>IF(AND(Diskonteringsverktyg!$D$37="Ja",Diskonteringsverktyg!$D$38="Ja"),$D82*$E82*Diskonteringsverktyg!$D$35*Diskonteringsverktyg!$D$36,IF(AND(Diskonteringsverktyg!$D$37="Ja",Diskonteringsverktyg!$D$38="Nej"),$E82*Diskonteringsverktyg!$D$35*Diskonteringsverktyg!$D$36,IF(AND(Diskonteringsverktyg!$D$37="Nej",Diskonteringsverktyg!$D$38="Ja"),$D82*Diskonteringsverktyg!$D$35*Diskonteringsverktyg!$D$36,Diskonteringsverktyg!$D$35*Diskonteringsverktyg!$D$36)))</f>
        <v>0</v>
      </c>
      <c r="I82" s="23">
        <f>IF(AND(Diskonteringsverktyg!$D$41="Ja",Diskonteringsverktyg!$D$42="Ja"),$D82*$E82*Diskonteringsverktyg!$D$39*Diskonteringsverktyg!$D$40,IF(AND(Diskonteringsverktyg!$D$41="Ja",Diskonteringsverktyg!$D$42="Nej"),$E82*Diskonteringsverktyg!$D$39*Diskonteringsverktyg!$D$40,IF(AND(Diskonteringsverktyg!$D$41="Nej",Diskonteringsverktyg!$D$42="Ja"),$D82*Diskonteringsverktyg!$D$39*Diskonteringsverktyg!$D$40,Diskonteringsverktyg!$D$39*Diskonteringsverktyg!$D$40)))</f>
        <v>0</v>
      </c>
      <c r="J82" s="23">
        <f>IF(AND(Diskonteringsverktyg!$D$45="Ja",Diskonteringsverktyg!$D$46="Ja"),$D82*$E82*Diskonteringsverktyg!$D$43*Diskonteringsverktyg!$D$44,IF(AND(Diskonteringsverktyg!$D$45="Ja",Diskonteringsverktyg!$D$46="Nej"),$E82*Diskonteringsverktyg!$D$43*Diskonteringsverktyg!$D$44,IF(AND(Diskonteringsverktyg!$D$45="Nej",Diskonteringsverktyg!$D$46="Ja"),$D82*Diskonteringsverktyg!$D$43*Diskonteringsverktyg!$D$44,Diskonteringsverktyg!$D$43*Diskonteringsverktyg!$D$44)))</f>
        <v>0</v>
      </c>
      <c r="K82" s="23">
        <f t="shared" ref="K82:K113" si="6">SUM(F82:J82)</f>
        <v>12108.149225460464</v>
      </c>
      <c r="L82" s="23">
        <f t="shared" ref="L82:L113" si="7">K82*C82</f>
        <v>886.36210551667409</v>
      </c>
      <c r="M82" s="23">
        <f>IF((B82&lt;=Diskonteringsverktyg!$D$16),Diskonteringsverktyg!$D$50*Diskonteringsverktyg!$D$14^(B82-Diskonteringsverktyg!$D$11),M81)</f>
        <v>2481.1008426959897</v>
      </c>
      <c r="N82" s="23">
        <f t="shared" ref="N82:N113" si="8">M82*C82</f>
        <v>181.62592201184071</v>
      </c>
      <c r="O82" s="30"/>
    </row>
    <row r="83" spans="1:15" x14ac:dyDescent="0.2">
      <c r="A83" s="97">
        <v>77</v>
      </c>
      <c r="B83" s="88">
        <f>Diskonteringsverktyg!$D$12+A83</f>
        <v>2105</v>
      </c>
      <c r="C83" s="22">
        <f>1/(Diskonteringsverktyg!$D$9)^(B83-Diskonteringsverktyg!$D$10)</f>
        <v>7.0728274965822541E-2</v>
      </c>
      <c r="D83" s="21">
        <f>IF(B83&lt;=Diskonteringsverktyg!$D$15,Diskonteringsverktyg!$D$21^(B83-Diskonteringsverktyg!$D$24),IF(AND(B83&gt;Diskonteringsverktyg!$D$15,B83&lt;=Diskonteringsverktyg!$D$16),Diskonteringsverktyg!$D$21^(Diskonteringsverktyg!$D$15-Diskonteringsverktyg!$D$24)*Diskonteringsverktyg!$D$22^(B83-Diskonteringsverktyg!$D$15),D82))</f>
        <v>1.4311229737306663</v>
      </c>
      <c r="E83" s="21">
        <f>IF(B83&lt;=Diskonteringsverktyg!$D$16,(Diskonteringsverktyg!$D$13)^(B83-Diskonteringsverktyg!$D$23),E82)</f>
        <v>1.6921186295957242</v>
      </c>
      <c r="F83" s="23">
        <f>IF(AND(Diskonteringsverktyg!$D$29="Ja",Diskonteringsverktyg!$D$30="Ja"),$D83*$E83*Diskonteringsverktyg!$D$27*Diskonteringsverktyg!$D$28,IF(AND(Diskonteringsverktyg!$D$29="Ja",Diskonteringsverktyg!$D$30="Nej"),$E83*Diskonteringsverktyg!$D$27*Diskonteringsverktyg!$D$28,IF(AND(Diskonteringsverktyg!$D$29="Nej",Diskonteringsverktyg!$D$30="Ja"),$D83*Diskonteringsverktyg!$D$27*Diskonteringsverktyg!$D$28,Diskonteringsverktyg!$D$27*Diskonteringsverktyg!$D$28)))</f>
        <v>12108.149225460464</v>
      </c>
      <c r="G83" s="23">
        <f>IF(AND(Diskonteringsverktyg!$D$33="Ja",Diskonteringsverktyg!$D$34="Ja"),$D83*$E83*Diskonteringsverktyg!$D$31*Diskonteringsverktyg!$D$32,IF(AND(Diskonteringsverktyg!$D$33="Ja",Diskonteringsverktyg!$D$34="Nej"),$E83*Diskonteringsverktyg!$D$31*Diskonteringsverktyg!$D$32,IF(AND(Diskonteringsverktyg!$D$33="Nej",Diskonteringsverktyg!$D$34="Ja"),$D83*Diskonteringsverktyg!$D$31*Diskonteringsverktyg!$D$32,Diskonteringsverktyg!$D$31*Diskonteringsverktyg!$D$32)))</f>
        <v>0</v>
      </c>
      <c r="H83" s="23">
        <f>IF(AND(Diskonteringsverktyg!$D$37="Ja",Diskonteringsverktyg!$D$38="Ja"),$D83*$E83*Diskonteringsverktyg!$D$35*Diskonteringsverktyg!$D$36,IF(AND(Diskonteringsverktyg!$D$37="Ja",Diskonteringsverktyg!$D$38="Nej"),$E83*Diskonteringsverktyg!$D$35*Diskonteringsverktyg!$D$36,IF(AND(Diskonteringsverktyg!$D$37="Nej",Diskonteringsverktyg!$D$38="Ja"),$D83*Diskonteringsverktyg!$D$35*Diskonteringsverktyg!$D$36,Diskonteringsverktyg!$D$35*Diskonteringsverktyg!$D$36)))</f>
        <v>0</v>
      </c>
      <c r="I83" s="23">
        <f>IF(AND(Diskonteringsverktyg!$D$41="Ja",Diskonteringsverktyg!$D$42="Ja"),$D83*$E83*Diskonteringsverktyg!$D$39*Diskonteringsverktyg!$D$40,IF(AND(Diskonteringsverktyg!$D$41="Ja",Diskonteringsverktyg!$D$42="Nej"),$E83*Diskonteringsverktyg!$D$39*Diskonteringsverktyg!$D$40,IF(AND(Diskonteringsverktyg!$D$41="Nej",Diskonteringsverktyg!$D$42="Ja"),$D83*Diskonteringsverktyg!$D$39*Diskonteringsverktyg!$D$40,Diskonteringsverktyg!$D$39*Diskonteringsverktyg!$D$40)))</f>
        <v>0</v>
      </c>
      <c r="J83" s="23">
        <f>IF(AND(Diskonteringsverktyg!$D$45="Ja",Diskonteringsverktyg!$D$46="Ja"),$D83*$E83*Diskonteringsverktyg!$D$43*Diskonteringsverktyg!$D$44,IF(AND(Diskonteringsverktyg!$D$45="Ja",Diskonteringsverktyg!$D$46="Nej"),$E83*Diskonteringsverktyg!$D$43*Diskonteringsverktyg!$D$44,IF(AND(Diskonteringsverktyg!$D$45="Nej",Diskonteringsverktyg!$D$46="Ja"),$D83*Diskonteringsverktyg!$D$43*Diskonteringsverktyg!$D$44,Diskonteringsverktyg!$D$43*Diskonteringsverktyg!$D$44)))</f>
        <v>0</v>
      </c>
      <c r="K83" s="23">
        <f t="shared" si="6"/>
        <v>12108.149225460464</v>
      </c>
      <c r="L83" s="23">
        <f t="shared" si="7"/>
        <v>856.38850774557886</v>
      </c>
      <c r="M83" s="23">
        <f>IF((B83&lt;=Diskonteringsverktyg!$D$16),Diskonteringsverktyg!$D$50*Diskonteringsverktyg!$D$14^(B83-Diskonteringsverktyg!$D$11),M82)</f>
        <v>2481.1008426959897</v>
      </c>
      <c r="N83" s="23">
        <f t="shared" si="8"/>
        <v>175.48398262013598</v>
      </c>
      <c r="O83" s="30"/>
    </row>
    <row r="84" spans="1:15" x14ac:dyDescent="0.2">
      <c r="A84" s="97">
        <v>78</v>
      </c>
      <c r="B84" s="88">
        <f>Diskonteringsverktyg!$D$12+A84</f>
        <v>2106</v>
      </c>
      <c r="C84" s="22">
        <f>1/(Diskonteringsverktyg!$D$9)^(B84-Diskonteringsverktyg!$D$10)</f>
        <v>6.8336497551519354E-2</v>
      </c>
      <c r="D84" s="21">
        <f>IF(B84&lt;=Diskonteringsverktyg!$D$15,Diskonteringsverktyg!$D$21^(B84-Diskonteringsverktyg!$D$24),IF(AND(B84&gt;Diskonteringsverktyg!$D$15,B84&lt;=Diskonteringsverktyg!$D$16),Diskonteringsverktyg!$D$21^(Diskonteringsverktyg!$D$15-Diskonteringsverktyg!$D$24)*Diskonteringsverktyg!$D$22^(B84-Diskonteringsverktyg!$D$15),D83))</f>
        <v>1.4311229737306663</v>
      </c>
      <c r="E84" s="21">
        <f>IF(B84&lt;=Diskonteringsverktyg!$D$16,(Diskonteringsverktyg!$D$13)^(B84-Diskonteringsverktyg!$D$23),E83)</f>
        <v>1.6921186295957242</v>
      </c>
      <c r="F84" s="23">
        <f>IF(AND(Diskonteringsverktyg!$D$29="Ja",Diskonteringsverktyg!$D$30="Ja"),$D84*$E84*Diskonteringsverktyg!$D$27*Diskonteringsverktyg!$D$28,IF(AND(Diskonteringsverktyg!$D$29="Ja",Diskonteringsverktyg!$D$30="Nej"),$E84*Diskonteringsverktyg!$D$27*Diskonteringsverktyg!$D$28,IF(AND(Diskonteringsverktyg!$D$29="Nej",Diskonteringsverktyg!$D$30="Ja"),$D84*Diskonteringsverktyg!$D$27*Diskonteringsverktyg!$D$28,Diskonteringsverktyg!$D$27*Diskonteringsverktyg!$D$28)))</f>
        <v>12108.149225460464</v>
      </c>
      <c r="G84" s="23">
        <f>IF(AND(Diskonteringsverktyg!$D$33="Ja",Diskonteringsverktyg!$D$34="Ja"),$D84*$E84*Diskonteringsverktyg!$D$31*Diskonteringsverktyg!$D$32,IF(AND(Diskonteringsverktyg!$D$33="Ja",Diskonteringsverktyg!$D$34="Nej"),$E84*Diskonteringsverktyg!$D$31*Diskonteringsverktyg!$D$32,IF(AND(Diskonteringsverktyg!$D$33="Nej",Diskonteringsverktyg!$D$34="Ja"),$D84*Diskonteringsverktyg!$D$31*Diskonteringsverktyg!$D$32,Diskonteringsverktyg!$D$31*Diskonteringsverktyg!$D$32)))</f>
        <v>0</v>
      </c>
      <c r="H84" s="23">
        <f>IF(AND(Diskonteringsverktyg!$D$37="Ja",Diskonteringsverktyg!$D$38="Ja"),$D84*$E84*Diskonteringsverktyg!$D$35*Diskonteringsverktyg!$D$36,IF(AND(Diskonteringsverktyg!$D$37="Ja",Diskonteringsverktyg!$D$38="Nej"),$E84*Diskonteringsverktyg!$D$35*Diskonteringsverktyg!$D$36,IF(AND(Diskonteringsverktyg!$D$37="Nej",Diskonteringsverktyg!$D$38="Ja"),$D84*Diskonteringsverktyg!$D$35*Diskonteringsverktyg!$D$36,Diskonteringsverktyg!$D$35*Diskonteringsverktyg!$D$36)))</f>
        <v>0</v>
      </c>
      <c r="I84" s="23">
        <f>IF(AND(Diskonteringsverktyg!$D$41="Ja",Diskonteringsverktyg!$D$42="Ja"),$D84*$E84*Diskonteringsverktyg!$D$39*Diskonteringsverktyg!$D$40,IF(AND(Diskonteringsverktyg!$D$41="Ja",Diskonteringsverktyg!$D$42="Nej"),$E84*Diskonteringsverktyg!$D$39*Diskonteringsverktyg!$D$40,IF(AND(Diskonteringsverktyg!$D$41="Nej",Diskonteringsverktyg!$D$42="Ja"),$D84*Diskonteringsverktyg!$D$39*Diskonteringsverktyg!$D$40,Diskonteringsverktyg!$D$39*Diskonteringsverktyg!$D$40)))</f>
        <v>0</v>
      </c>
      <c r="J84" s="23">
        <f>IF(AND(Diskonteringsverktyg!$D$45="Ja",Diskonteringsverktyg!$D$46="Ja"),$D84*$E84*Diskonteringsverktyg!$D$43*Diskonteringsverktyg!$D$44,IF(AND(Diskonteringsverktyg!$D$45="Ja",Diskonteringsverktyg!$D$46="Nej"),$E84*Diskonteringsverktyg!$D$43*Diskonteringsverktyg!$D$44,IF(AND(Diskonteringsverktyg!$D$45="Nej",Diskonteringsverktyg!$D$46="Ja"),$D84*Diskonteringsverktyg!$D$43*Diskonteringsverktyg!$D$44,Diskonteringsverktyg!$D$43*Diskonteringsverktyg!$D$44)))</f>
        <v>0</v>
      </c>
      <c r="K84" s="23">
        <f t="shared" si="6"/>
        <v>12108.149225460464</v>
      </c>
      <c r="L84" s="23">
        <f t="shared" si="7"/>
        <v>827.42850989910994</v>
      </c>
      <c r="M84" s="23">
        <f>IF((B84&lt;=Diskonteringsverktyg!$D$16),Diskonteringsverktyg!$D$50*Diskonteringsverktyg!$D$14^(B84-Diskonteringsverktyg!$D$11),M83)</f>
        <v>2481.1008426959897</v>
      </c>
      <c r="N84" s="23">
        <f t="shared" si="8"/>
        <v>169.54974166196712</v>
      </c>
      <c r="O84" s="30"/>
    </row>
    <row r="85" spans="1:15" x14ac:dyDescent="0.2">
      <c r="A85" s="97">
        <v>79</v>
      </c>
      <c r="B85" s="88">
        <f>Diskonteringsverktyg!$D$12+A85</f>
        <v>2107</v>
      </c>
      <c r="C85" s="22">
        <f>1/(Diskonteringsverktyg!$D$9)^(B85-Diskonteringsverktyg!$D$10)</f>
        <v>6.6025601499052525E-2</v>
      </c>
      <c r="D85" s="21">
        <f>IF(B85&lt;=Diskonteringsverktyg!$D$15,Diskonteringsverktyg!$D$21^(B85-Diskonteringsverktyg!$D$24),IF(AND(B85&gt;Diskonteringsverktyg!$D$15,B85&lt;=Diskonteringsverktyg!$D$16),Diskonteringsverktyg!$D$21^(Diskonteringsverktyg!$D$15-Diskonteringsverktyg!$D$24)*Diskonteringsverktyg!$D$22^(B85-Diskonteringsverktyg!$D$15),D84))</f>
        <v>1.4311229737306663</v>
      </c>
      <c r="E85" s="21">
        <f>IF(B85&lt;=Diskonteringsverktyg!$D$16,(Diskonteringsverktyg!$D$13)^(B85-Diskonteringsverktyg!$D$23),E84)</f>
        <v>1.6921186295957242</v>
      </c>
      <c r="F85" s="23">
        <f>IF(AND(Diskonteringsverktyg!$D$29="Ja",Diskonteringsverktyg!$D$30="Ja"),$D85*$E85*Diskonteringsverktyg!$D$27*Diskonteringsverktyg!$D$28,IF(AND(Diskonteringsverktyg!$D$29="Ja",Diskonteringsverktyg!$D$30="Nej"),$E85*Diskonteringsverktyg!$D$27*Diskonteringsverktyg!$D$28,IF(AND(Diskonteringsverktyg!$D$29="Nej",Diskonteringsverktyg!$D$30="Ja"),$D85*Diskonteringsverktyg!$D$27*Diskonteringsverktyg!$D$28,Diskonteringsverktyg!$D$27*Diskonteringsverktyg!$D$28)))</f>
        <v>12108.149225460464</v>
      </c>
      <c r="G85" s="23">
        <f>IF(AND(Diskonteringsverktyg!$D$33="Ja",Diskonteringsverktyg!$D$34="Ja"),$D85*$E85*Diskonteringsverktyg!$D$31*Diskonteringsverktyg!$D$32,IF(AND(Diskonteringsverktyg!$D$33="Ja",Diskonteringsverktyg!$D$34="Nej"),$E85*Diskonteringsverktyg!$D$31*Diskonteringsverktyg!$D$32,IF(AND(Diskonteringsverktyg!$D$33="Nej",Diskonteringsverktyg!$D$34="Ja"),$D85*Diskonteringsverktyg!$D$31*Diskonteringsverktyg!$D$32,Diskonteringsverktyg!$D$31*Diskonteringsverktyg!$D$32)))</f>
        <v>0</v>
      </c>
      <c r="H85" s="23">
        <f>IF(AND(Diskonteringsverktyg!$D$37="Ja",Diskonteringsverktyg!$D$38="Ja"),$D85*$E85*Diskonteringsverktyg!$D$35*Diskonteringsverktyg!$D$36,IF(AND(Diskonteringsverktyg!$D$37="Ja",Diskonteringsverktyg!$D$38="Nej"),$E85*Diskonteringsverktyg!$D$35*Diskonteringsverktyg!$D$36,IF(AND(Diskonteringsverktyg!$D$37="Nej",Diskonteringsverktyg!$D$38="Ja"),$D85*Diskonteringsverktyg!$D$35*Diskonteringsverktyg!$D$36,Diskonteringsverktyg!$D$35*Diskonteringsverktyg!$D$36)))</f>
        <v>0</v>
      </c>
      <c r="I85" s="23">
        <f>IF(AND(Diskonteringsverktyg!$D$41="Ja",Diskonteringsverktyg!$D$42="Ja"),$D85*$E85*Diskonteringsverktyg!$D$39*Diskonteringsverktyg!$D$40,IF(AND(Diskonteringsverktyg!$D$41="Ja",Diskonteringsverktyg!$D$42="Nej"),$E85*Diskonteringsverktyg!$D$39*Diskonteringsverktyg!$D$40,IF(AND(Diskonteringsverktyg!$D$41="Nej",Diskonteringsverktyg!$D$42="Ja"),$D85*Diskonteringsverktyg!$D$39*Diskonteringsverktyg!$D$40,Diskonteringsverktyg!$D$39*Diskonteringsverktyg!$D$40)))</f>
        <v>0</v>
      </c>
      <c r="J85" s="23">
        <f>IF(AND(Diskonteringsverktyg!$D$45="Ja",Diskonteringsverktyg!$D$46="Ja"),$D85*$E85*Diskonteringsverktyg!$D$43*Diskonteringsverktyg!$D$44,IF(AND(Diskonteringsverktyg!$D$45="Ja",Diskonteringsverktyg!$D$46="Nej"),$E85*Diskonteringsverktyg!$D$43*Diskonteringsverktyg!$D$44,IF(AND(Diskonteringsverktyg!$D$45="Nej",Diskonteringsverktyg!$D$46="Ja"),$D85*Diskonteringsverktyg!$D$43*Diskonteringsverktyg!$D$44,Diskonteringsverktyg!$D$43*Diskonteringsverktyg!$D$44)))</f>
        <v>0</v>
      </c>
      <c r="K85" s="23">
        <f t="shared" si="6"/>
        <v>12108.149225460464</v>
      </c>
      <c r="L85" s="23">
        <f t="shared" si="7"/>
        <v>799.44783565131411</v>
      </c>
      <c r="M85" s="23">
        <f>IF((B85&lt;=Diskonteringsverktyg!$D$16),Diskonteringsverktyg!$D$50*Diskonteringsverktyg!$D$14^(B85-Diskonteringsverktyg!$D$11),M84)</f>
        <v>2481.1008426959897</v>
      </c>
      <c r="N85" s="23">
        <f t="shared" si="8"/>
        <v>163.81617551880882</v>
      </c>
      <c r="O85" s="30"/>
    </row>
    <row r="86" spans="1:15" x14ac:dyDescent="0.2">
      <c r="A86" s="97">
        <v>80</v>
      </c>
      <c r="B86" s="88">
        <f>Diskonteringsverktyg!$D$12+A86</f>
        <v>2108</v>
      </c>
      <c r="C86" s="22">
        <f>1/(Diskonteringsverktyg!$D$9)^(B86-Diskonteringsverktyg!$D$10)</f>
        <v>6.3792851689905838E-2</v>
      </c>
      <c r="D86" s="21">
        <f>IF(B86&lt;=Diskonteringsverktyg!$D$15,Diskonteringsverktyg!$D$21^(B86-Diskonteringsverktyg!$D$24),IF(AND(B86&gt;Diskonteringsverktyg!$D$15,B86&lt;=Diskonteringsverktyg!$D$16),Diskonteringsverktyg!$D$21^(Diskonteringsverktyg!$D$15-Diskonteringsverktyg!$D$24)*Diskonteringsverktyg!$D$22^(B86-Diskonteringsverktyg!$D$15),D85))</f>
        <v>1.4311229737306663</v>
      </c>
      <c r="E86" s="21">
        <f>IF(B86&lt;=Diskonteringsverktyg!$D$16,(Diskonteringsverktyg!$D$13)^(B86-Diskonteringsverktyg!$D$23),E85)</f>
        <v>1.6921186295957242</v>
      </c>
      <c r="F86" s="23">
        <f>IF(AND(Diskonteringsverktyg!$D$29="Ja",Diskonteringsverktyg!$D$30="Ja"),$D86*$E86*Diskonteringsverktyg!$D$27*Diskonteringsverktyg!$D$28,IF(AND(Diskonteringsverktyg!$D$29="Ja",Diskonteringsverktyg!$D$30="Nej"),$E86*Diskonteringsverktyg!$D$27*Diskonteringsverktyg!$D$28,IF(AND(Diskonteringsverktyg!$D$29="Nej",Diskonteringsverktyg!$D$30="Ja"),$D86*Diskonteringsverktyg!$D$27*Diskonteringsverktyg!$D$28,Diskonteringsverktyg!$D$27*Diskonteringsverktyg!$D$28)))</f>
        <v>12108.149225460464</v>
      </c>
      <c r="G86" s="23">
        <f>IF(AND(Diskonteringsverktyg!$D$33="Ja",Diskonteringsverktyg!$D$34="Ja"),$D86*$E86*Diskonteringsverktyg!$D$31*Diskonteringsverktyg!$D$32,IF(AND(Diskonteringsverktyg!$D$33="Ja",Diskonteringsverktyg!$D$34="Nej"),$E86*Diskonteringsverktyg!$D$31*Diskonteringsverktyg!$D$32,IF(AND(Diskonteringsverktyg!$D$33="Nej",Diskonteringsverktyg!$D$34="Ja"),$D86*Diskonteringsverktyg!$D$31*Diskonteringsverktyg!$D$32,Diskonteringsverktyg!$D$31*Diskonteringsverktyg!$D$32)))</f>
        <v>0</v>
      </c>
      <c r="H86" s="23">
        <f>IF(AND(Diskonteringsverktyg!$D$37="Ja",Diskonteringsverktyg!$D$38="Ja"),$D86*$E86*Diskonteringsverktyg!$D$35*Diskonteringsverktyg!$D$36,IF(AND(Diskonteringsverktyg!$D$37="Ja",Diskonteringsverktyg!$D$38="Nej"),$E86*Diskonteringsverktyg!$D$35*Diskonteringsverktyg!$D$36,IF(AND(Diskonteringsverktyg!$D$37="Nej",Diskonteringsverktyg!$D$38="Ja"),$D86*Diskonteringsverktyg!$D$35*Diskonteringsverktyg!$D$36,Diskonteringsverktyg!$D$35*Diskonteringsverktyg!$D$36)))</f>
        <v>0</v>
      </c>
      <c r="I86" s="23">
        <f>IF(AND(Diskonteringsverktyg!$D$41="Ja",Diskonteringsverktyg!$D$42="Ja"),$D86*$E86*Diskonteringsverktyg!$D$39*Diskonteringsverktyg!$D$40,IF(AND(Diskonteringsverktyg!$D$41="Ja",Diskonteringsverktyg!$D$42="Nej"),$E86*Diskonteringsverktyg!$D$39*Diskonteringsverktyg!$D$40,IF(AND(Diskonteringsverktyg!$D$41="Nej",Diskonteringsverktyg!$D$42="Ja"),$D86*Diskonteringsverktyg!$D$39*Diskonteringsverktyg!$D$40,Diskonteringsverktyg!$D$39*Diskonteringsverktyg!$D$40)))</f>
        <v>0</v>
      </c>
      <c r="J86" s="23">
        <f>IF(AND(Diskonteringsverktyg!$D$45="Ja",Diskonteringsverktyg!$D$46="Ja"),$D86*$E86*Diskonteringsverktyg!$D$43*Diskonteringsverktyg!$D$44,IF(AND(Diskonteringsverktyg!$D$45="Ja",Diskonteringsverktyg!$D$46="Nej"),$E86*Diskonteringsverktyg!$D$43*Diskonteringsverktyg!$D$44,IF(AND(Diskonteringsverktyg!$D$45="Nej",Diskonteringsverktyg!$D$46="Ja"),$D86*Diskonteringsverktyg!$D$43*Diskonteringsverktyg!$D$44,Diskonteringsverktyg!$D$43*Diskonteringsverktyg!$D$44)))</f>
        <v>0</v>
      </c>
      <c r="K86" s="23">
        <f t="shared" si="6"/>
        <v>12108.149225460464</v>
      </c>
      <c r="L86" s="23">
        <f t="shared" si="7"/>
        <v>772.41336777904758</v>
      </c>
      <c r="M86" s="23">
        <f>IF((B86&lt;=Diskonteringsverktyg!$D$16),Diskonteringsverktyg!$D$50*Diskonteringsverktyg!$D$14^(B86-Diskonteringsverktyg!$D$11),M85)</f>
        <v>2481.1008426959897</v>
      </c>
      <c r="N86" s="23">
        <f t="shared" si="8"/>
        <v>158.27649808580566</v>
      </c>
      <c r="O86" s="30"/>
    </row>
    <row r="87" spans="1:15" x14ac:dyDescent="0.2">
      <c r="A87" s="97">
        <v>81</v>
      </c>
      <c r="B87" s="88">
        <f>Diskonteringsverktyg!$D$12+A87</f>
        <v>2109</v>
      </c>
      <c r="C87" s="22">
        <f>1/(Diskonteringsverktyg!$D$9)^(B87-Diskonteringsverktyg!$D$10)</f>
        <v>6.1635605497493563E-2</v>
      </c>
      <c r="D87" s="21">
        <f>IF(B87&lt;=Diskonteringsverktyg!$D$15,Diskonteringsverktyg!$D$21^(B87-Diskonteringsverktyg!$D$24),IF(AND(B87&gt;Diskonteringsverktyg!$D$15,B87&lt;=Diskonteringsverktyg!$D$16),Diskonteringsverktyg!$D$21^(Diskonteringsverktyg!$D$15-Diskonteringsverktyg!$D$24)*Diskonteringsverktyg!$D$22^(B87-Diskonteringsverktyg!$D$15),D86))</f>
        <v>1.4311229737306663</v>
      </c>
      <c r="E87" s="21">
        <f>IF(B87&lt;=Diskonteringsverktyg!$D$16,(Diskonteringsverktyg!$D$13)^(B87-Diskonteringsverktyg!$D$23),E86)</f>
        <v>1.6921186295957242</v>
      </c>
      <c r="F87" s="23">
        <f>IF(AND(Diskonteringsverktyg!$D$29="Ja",Diskonteringsverktyg!$D$30="Ja"),$D87*$E87*Diskonteringsverktyg!$D$27*Diskonteringsverktyg!$D$28,IF(AND(Diskonteringsverktyg!$D$29="Ja",Diskonteringsverktyg!$D$30="Nej"),$E87*Diskonteringsverktyg!$D$27*Diskonteringsverktyg!$D$28,IF(AND(Diskonteringsverktyg!$D$29="Nej",Diskonteringsverktyg!$D$30="Ja"),$D87*Diskonteringsverktyg!$D$27*Diskonteringsverktyg!$D$28,Diskonteringsverktyg!$D$27*Diskonteringsverktyg!$D$28)))</f>
        <v>12108.149225460464</v>
      </c>
      <c r="G87" s="23">
        <f>IF(AND(Diskonteringsverktyg!$D$33="Ja",Diskonteringsverktyg!$D$34="Ja"),$D87*$E87*Diskonteringsverktyg!$D$31*Diskonteringsverktyg!$D$32,IF(AND(Diskonteringsverktyg!$D$33="Ja",Diskonteringsverktyg!$D$34="Nej"),$E87*Diskonteringsverktyg!$D$31*Diskonteringsverktyg!$D$32,IF(AND(Diskonteringsverktyg!$D$33="Nej",Diskonteringsverktyg!$D$34="Ja"),$D87*Diskonteringsverktyg!$D$31*Diskonteringsverktyg!$D$32,Diskonteringsverktyg!$D$31*Diskonteringsverktyg!$D$32)))</f>
        <v>0</v>
      </c>
      <c r="H87" s="23">
        <f>IF(AND(Diskonteringsverktyg!$D$37="Ja",Diskonteringsverktyg!$D$38="Ja"),$D87*$E87*Diskonteringsverktyg!$D$35*Diskonteringsverktyg!$D$36,IF(AND(Diskonteringsverktyg!$D$37="Ja",Diskonteringsverktyg!$D$38="Nej"),$E87*Diskonteringsverktyg!$D$35*Diskonteringsverktyg!$D$36,IF(AND(Diskonteringsverktyg!$D$37="Nej",Diskonteringsverktyg!$D$38="Ja"),$D87*Diskonteringsverktyg!$D$35*Diskonteringsverktyg!$D$36,Diskonteringsverktyg!$D$35*Diskonteringsverktyg!$D$36)))</f>
        <v>0</v>
      </c>
      <c r="I87" s="23">
        <f>IF(AND(Diskonteringsverktyg!$D$41="Ja",Diskonteringsverktyg!$D$42="Ja"),$D87*$E87*Diskonteringsverktyg!$D$39*Diskonteringsverktyg!$D$40,IF(AND(Diskonteringsverktyg!$D$41="Ja",Diskonteringsverktyg!$D$42="Nej"),$E87*Diskonteringsverktyg!$D$39*Diskonteringsverktyg!$D$40,IF(AND(Diskonteringsverktyg!$D$41="Nej",Diskonteringsverktyg!$D$42="Ja"),$D87*Diskonteringsverktyg!$D$39*Diskonteringsverktyg!$D$40,Diskonteringsverktyg!$D$39*Diskonteringsverktyg!$D$40)))</f>
        <v>0</v>
      </c>
      <c r="J87" s="23">
        <f>IF(AND(Diskonteringsverktyg!$D$45="Ja",Diskonteringsverktyg!$D$46="Ja"),$D87*$E87*Diskonteringsverktyg!$D$43*Diskonteringsverktyg!$D$44,IF(AND(Diskonteringsverktyg!$D$45="Ja",Diskonteringsverktyg!$D$46="Nej"),$E87*Diskonteringsverktyg!$D$43*Diskonteringsverktyg!$D$44,IF(AND(Diskonteringsverktyg!$D$45="Nej",Diskonteringsverktyg!$D$46="Ja"),$D87*Diskonteringsverktyg!$D$43*Diskonteringsverktyg!$D$44,Diskonteringsverktyg!$D$43*Diskonteringsverktyg!$D$44)))</f>
        <v>0</v>
      </c>
      <c r="K87" s="23">
        <f t="shared" si="6"/>
        <v>12108.149225460464</v>
      </c>
      <c r="L87" s="23">
        <f t="shared" si="7"/>
        <v>746.2931089652634</v>
      </c>
      <c r="M87" s="23">
        <f>IF((B87&lt;=Diskonteringsverktyg!$D$16),Diskonteringsverktyg!$D$50*Diskonteringsverktyg!$D$14^(B87-Diskonteringsverktyg!$D$11),M86)</f>
        <v>2481.1008426959897</v>
      </c>
      <c r="N87" s="23">
        <f t="shared" si="8"/>
        <v>152.92415273990886</v>
      </c>
      <c r="O87" s="30"/>
    </row>
    <row r="88" spans="1:15" x14ac:dyDescent="0.2">
      <c r="A88" s="97">
        <v>82</v>
      </c>
      <c r="B88" s="88">
        <f>Diskonteringsverktyg!$D$12+A88</f>
        <v>2110</v>
      </c>
      <c r="C88" s="22">
        <f>1/(Diskonteringsverktyg!$D$9)^(B88-Diskonteringsverktyg!$D$10)</f>
        <v>5.9551309659414069E-2</v>
      </c>
      <c r="D88" s="21">
        <f>IF(B88&lt;=Diskonteringsverktyg!$D$15,Diskonteringsverktyg!$D$21^(B88-Diskonteringsverktyg!$D$24),IF(AND(B88&gt;Diskonteringsverktyg!$D$15,B88&lt;=Diskonteringsverktyg!$D$16),Diskonteringsverktyg!$D$21^(Diskonteringsverktyg!$D$15-Diskonteringsverktyg!$D$24)*Diskonteringsverktyg!$D$22^(B88-Diskonteringsverktyg!$D$15),D87))</f>
        <v>1.4311229737306663</v>
      </c>
      <c r="E88" s="21">
        <f>IF(B88&lt;=Diskonteringsverktyg!$D$16,(Diskonteringsverktyg!$D$13)^(B88-Diskonteringsverktyg!$D$23),E87)</f>
        <v>1.6921186295957242</v>
      </c>
      <c r="F88" s="23">
        <f>IF(AND(Diskonteringsverktyg!$D$29="Ja",Diskonteringsverktyg!$D$30="Ja"),$D88*$E88*Diskonteringsverktyg!$D$27*Diskonteringsverktyg!$D$28,IF(AND(Diskonteringsverktyg!$D$29="Ja",Diskonteringsverktyg!$D$30="Nej"),$E88*Diskonteringsverktyg!$D$27*Diskonteringsverktyg!$D$28,IF(AND(Diskonteringsverktyg!$D$29="Nej",Diskonteringsverktyg!$D$30="Ja"),$D88*Diskonteringsverktyg!$D$27*Diskonteringsverktyg!$D$28,Diskonteringsverktyg!$D$27*Diskonteringsverktyg!$D$28)))</f>
        <v>12108.149225460464</v>
      </c>
      <c r="G88" s="23">
        <f>IF(AND(Diskonteringsverktyg!$D$33="Ja",Diskonteringsverktyg!$D$34="Ja"),$D88*$E88*Diskonteringsverktyg!$D$31*Diskonteringsverktyg!$D$32,IF(AND(Diskonteringsverktyg!$D$33="Ja",Diskonteringsverktyg!$D$34="Nej"),$E88*Diskonteringsverktyg!$D$31*Diskonteringsverktyg!$D$32,IF(AND(Diskonteringsverktyg!$D$33="Nej",Diskonteringsverktyg!$D$34="Ja"),$D88*Diskonteringsverktyg!$D$31*Diskonteringsverktyg!$D$32,Diskonteringsverktyg!$D$31*Diskonteringsverktyg!$D$32)))</f>
        <v>0</v>
      </c>
      <c r="H88" s="23">
        <f>IF(AND(Diskonteringsverktyg!$D$37="Ja",Diskonteringsverktyg!$D$38="Ja"),$D88*$E88*Diskonteringsverktyg!$D$35*Diskonteringsverktyg!$D$36,IF(AND(Diskonteringsverktyg!$D$37="Ja",Diskonteringsverktyg!$D$38="Nej"),$E88*Diskonteringsverktyg!$D$35*Diskonteringsverktyg!$D$36,IF(AND(Diskonteringsverktyg!$D$37="Nej",Diskonteringsverktyg!$D$38="Ja"),$D88*Diskonteringsverktyg!$D$35*Diskonteringsverktyg!$D$36,Diskonteringsverktyg!$D$35*Diskonteringsverktyg!$D$36)))</f>
        <v>0</v>
      </c>
      <c r="I88" s="23">
        <f>IF(AND(Diskonteringsverktyg!$D$41="Ja",Diskonteringsverktyg!$D$42="Ja"),$D88*$E88*Diskonteringsverktyg!$D$39*Diskonteringsverktyg!$D$40,IF(AND(Diskonteringsverktyg!$D$41="Ja",Diskonteringsverktyg!$D$42="Nej"),$E88*Diskonteringsverktyg!$D$39*Diskonteringsverktyg!$D$40,IF(AND(Diskonteringsverktyg!$D$41="Nej",Diskonteringsverktyg!$D$42="Ja"),$D88*Diskonteringsverktyg!$D$39*Diskonteringsverktyg!$D$40,Diskonteringsverktyg!$D$39*Diskonteringsverktyg!$D$40)))</f>
        <v>0</v>
      </c>
      <c r="J88" s="23">
        <f>IF(AND(Diskonteringsverktyg!$D$45="Ja",Diskonteringsverktyg!$D$46="Ja"),$D88*$E88*Diskonteringsverktyg!$D$43*Diskonteringsverktyg!$D$44,IF(AND(Diskonteringsverktyg!$D$45="Ja",Diskonteringsverktyg!$D$46="Nej"),$E88*Diskonteringsverktyg!$D$43*Diskonteringsverktyg!$D$44,IF(AND(Diskonteringsverktyg!$D$45="Nej",Diskonteringsverktyg!$D$46="Ja"),$D88*Diskonteringsverktyg!$D$43*Diskonteringsverktyg!$D$44,Diskonteringsverktyg!$D$43*Diskonteringsverktyg!$D$44)))</f>
        <v>0</v>
      </c>
      <c r="K88" s="23">
        <f t="shared" si="6"/>
        <v>12108.149225460464</v>
      </c>
      <c r="L88" s="23">
        <f t="shared" si="7"/>
        <v>721.05614392779069</v>
      </c>
      <c r="M88" s="23">
        <f>IF((B88&lt;=Diskonteringsverktyg!$D$16),Diskonteringsverktyg!$D$50*Diskonteringsverktyg!$D$14^(B88-Diskonteringsverktyg!$D$11),M87)</f>
        <v>2481.1008426959897</v>
      </c>
      <c r="N88" s="23">
        <f t="shared" si="8"/>
        <v>147.75280457962208</v>
      </c>
      <c r="O88" s="30"/>
    </row>
    <row r="89" spans="1:15" x14ac:dyDescent="0.2">
      <c r="A89" s="97">
        <v>83</v>
      </c>
      <c r="B89" s="88">
        <f>Diskonteringsverktyg!$D$12+A89</f>
        <v>2111</v>
      </c>
      <c r="C89" s="22">
        <f>1/(Diskonteringsverktyg!$D$9)^(B89-Diskonteringsverktyg!$D$10)</f>
        <v>5.7537497255472546E-2</v>
      </c>
      <c r="D89" s="21">
        <f>IF(B89&lt;=Diskonteringsverktyg!$D$15,Diskonteringsverktyg!$D$21^(B89-Diskonteringsverktyg!$D$24),IF(AND(B89&gt;Diskonteringsverktyg!$D$15,B89&lt;=Diskonteringsverktyg!$D$16),Diskonteringsverktyg!$D$21^(Diskonteringsverktyg!$D$15-Diskonteringsverktyg!$D$24)*Diskonteringsverktyg!$D$22^(B89-Diskonteringsverktyg!$D$15),D88))</f>
        <v>1.4311229737306663</v>
      </c>
      <c r="E89" s="21">
        <f>IF(B89&lt;=Diskonteringsverktyg!$D$16,(Diskonteringsverktyg!$D$13)^(B89-Diskonteringsverktyg!$D$23),E88)</f>
        <v>1.6921186295957242</v>
      </c>
      <c r="F89" s="23">
        <f>IF(AND(Diskonteringsverktyg!$D$29="Ja",Diskonteringsverktyg!$D$30="Ja"),$D89*$E89*Diskonteringsverktyg!$D$27*Diskonteringsverktyg!$D$28,IF(AND(Diskonteringsverktyg!$D$29="Ja",Diskonteringsverktyg!$D$30="Nej"),$E89*Diskonteringsverktyg!$D$27*Diskonteringsverktyg!$D$28,IF(AND(Diskonteringsverktyg!$D$29="Nej",Diskonteringsverktyg!$D$30="Ja"),$D89*Diskonteringsverktyg!$D$27*Diskonteringsverktyg!$D$28,Diskonteringsverktyg!$D$27*Diskonteringsverktyg!$D$28)))</f>
        <v>12108.149225460464</v>
      </c>
      <c r="G89" s="23">
        <f>IF(AND(Diskonteringsverktyg!$D$33="Ja",Diskonteringsverktyg!$D$34="Ja"),$D89*$E89*Diskonteringsverktyg!$D$31*Diskonteringsverktyg!$D$32,IF(AND(Diskonteringsverktyg!$D$33="Ja",Diskonteringsverktyg!$D$34="Nej"),$E89*Diskonteringsverktyg!$D$31*Diskonteringsverktyg!$D$32,IF(AND(Diskonteringsverktyg!$D$33="Nej",Diskonteringsverktyg!$D$34="Ja"),$D89*Diskonteringsverktyg!$D$31*Diskonteringsverktyg!$D$32,Diskonteringsverktyg!$D$31*Diskonteringsverktyg!$D$32)))</f>
        <v>0</v>
      </c>
      <c r="H89" s="23">
        <f>IF(AND(Diskonteringsverktyg!$D$37="Ja",Diskonteringsverktyg!$D$38="Ja"),$D89*$E89*Diskonteringsverktyg!$D$35*Diskonteringsverktyg!$D$36,IF(AND(Diskonteringsverktyg!$D$37="Ja",Diskonteringsverktyg!$D$38="Nej"),$E89*Diskonteringsverktyg!$D$35*Diskonteringsverktyg!$D$36,IF(AND(Diskonteringsverktyg!$D$37="Nej",Diskonteringsverktyg!$D$38="Ja"),$D89*Diskonteringsverktyg!$D$35*Diskonteringsverktyg!$D$36,Diskonteringsverktyg!$D$35*Diskonteringsverktyg!$D$36)))</f>
        <v>0</v>
      </c>
      <c r="I89" s="23">
        <f>IF(AND(Diskonteringsverktyg!$D$41="Ja",Diskonteringsverktyg!$D$42="Ja"),$D89*$E89*Diskonteringsverktyg!$D$39*Diskonteringsverktyg!$D$40,IF(AND(Diskonteringsverktyg!$D$41="Ja",Diskonteringsverktyg!$D$42="Nej"),$E89*Diskonteringsverktyg!$D$39*Diskonteringsverktyg!$D$40,IF(AND(Diskonteringsverktyg!$D$41="Nej",Diskonteringsverktyg!$D$42="Ja"),$D89*Diskonteringsverktyg!$D$39*Diskonteringsverktyg!$D$40,Diskonteringsverktyg!$D$39*Diskonteringsverktyg!$D$40)))</f>
        <v>0</v>
      </c>
      <c r="J89" s="23">
        <f>IF(AND(Diskonteringsverktyg!$D$45="Ja",Diskonteringsverktyg!$D$46="Ja"),$D89*$E89*Diskonteringsverktyg!$D$43*Diskonteringsverktyg!$D$44,IF(AND(Diskonteringsverktyg!$D$45="Ja",Diskonteringsverktyg!$D$46="Nej"),$E89*Diskonteringsverktyg!$D$43*Diskonteringsverktyg!$D$44,IF(AND(Diskonteringsverktyg!$D$45="Nej",Diskonteringsverktyg!$D$46="Ja"),$D89*Diskonteringsverktyg!$D$43*Diskonteringsverktyg!$D$44,Diskonteringsverktyg!$D$43*Diskonteringsverktyg!$D$44)))</f>
        <v>0</v>
      </c>
      <c r="K89" s="23">
        <f t="shared" si="6"/>
        <v>12108.149225460464</v>
      </c>
      <c r="L89" s="23">
        <f t="shared" si="7"/>
        <v>696.67260282878351</v>
      </c>
      <c r="M89" s="23">
        <f>IF((B89&lt;=Diskonteringsverktyg!$D$16),Diskonteringsverktyg!$D$50*Diskonteringsverktyg!$D$14^(B89-Diskonteringsverktyg!$D$11),M88)</f>
        <v>2481.1008426959897</v>
      </c>
      <c r="N89" s="23">
        <f t="shared" si="8"/>
        <v>142.75633292717114</v>
      </c>
      <c r="O89" s="30"/>
    </row>
    <row r="90" spans="1:15" x14ac:dyDescent="0.2">
      <c r="A90" s="97">
        <v>84</v>
      </c>
      <c r="B90" s="88">
        <f>Diskonteringsverktyg!$D$12+A90</f>
        <v>2112</v>
      </c>
      <c r="C90" s="22">
        <f>1/(Diskonteringsverktyg!$D$9)^(B90-Diskonteringsverktyg!$D$10)</f>
        <v>5.5591784787896191E-2</v>
      </c>
      <c r="D90" s="21">
        <f>IF(B90&lt;=Diskonteringsverktyg!$D$15,Diskonteringsverktyg!$D$21^(B90-Diskonteringsverktyg!$D$24),IF(AND(B90&gt;Diskonteringsverktyg!$D$15,B90&lt;=Diskonteringsverktyg!$D$16),Diskonteringsverktyg!$D$21^(Diskonteringsverktyg!$D$15-Diskonteringsverktyg!$D$24)*Diskonteringsverktyg!$D$22^(B90-Diskonteringsverktyg!$D$15),D89))</f>
        <v>1.4311229737306663</v>
      </c>
      <c r="E90" s="21">
        <f>IF(B90&lt;=Diskonteringsverktyg!$D$16,(Diskonteringsverktyg!$D$13)^(B90-Diskonteringsverktyg!$D$23),E89)</f>
        <v>1.6921186295957242</v>
      </c>
      <c r="F90" s="23">
        <f>IF(AND(Diskonteringsverktyg!$D$29="Ja",Diskonteringsverktyg!$D$30="Ja"),$D90*$E90*Diskonteringsverktyg!$D$27*Diskonteringsverktyg!$D$28,IF(AND(Diskonteringsverktyg!$D$29="Ja",Diskonteringsverktyg!$D$30="Nej"),$E90*Diskonteringsverktyg!$D$27*Diskonteringsverktyg!$D$28,IF(AND(Diskonteringsverktyg!$D$29="Nej",Diskonteringsverktyg!$D$30="Ja"),$D90*Diskonteringsverktyg!$D$27*Diskonteringsverktyg!$D$28,Diskonteringsverktyg!$D$27*Diskonteringsverktyg!$D$28)))</f>
        <v>12108.149225460464</v>
      </c>
      <c r="G90" s="23">
        <f>IF(AND(Diskonteringsverktyg!$D$33="Ja",Diskonteringsverktyg!$D$34="Ja"),$D90*$E90*Diskonteringsverktyg!$D$31*Diskonteringsverktyg!$D$32,IF(AND(Diskonteringsverktyg!$D$33="Ja",Diskonteringsverktyg!$D$34="Nej"),$E90*Diskonteringsverktyg!$D$31*Diskonteringsverktyg!$D$32,IF(AND(Diskonteringsverktyg!$D$33="Nej",Diskonteringsverktyg!$D$34="Ja"),$D90*Diskonteringsverktyg!$D$31*Diskonteringsverktyg!$D$32,Diskonteringsverktyg!$D$31*Diskonteringsverktyg!$D$32)))</f>
        <v>0</v>
      </c>
      <c r="H90" s="23">
        <f>IF(AND(Diskonteringsverktyg!$D$37="Ja",Diskonteringsverktyg!$D$38="Ja"),$D90*$E90*Diskonteringsverktyg!$D$35*Diskonteringsverktyg!$D$36,IF(AND(Diskonteringsverktyg!$D$37="Ja",Diskonteringsverktyg!$D$38="Nej"),$E90*Diskonteringsverktyg!$D$35*Diskonteringsverktyg!$D$36,IF(AND(Diskonteringsverktyg!$D$37="Nej",Diskonteringsverktyg!$D$38="Ja"),$D90*Diskonteringsverktyg!$D$35*Diskonteringsverktyg!$D$36,Diskonteringsverktyg!$D$35*Diskonteringsverktyg!$D$36)))</f>
        <v>0</v>
      </c>
      <c r="I90" s="23">
        <f>IF(AND(Diskonteringsverktyg!$D$41="Ja",Diskonteringsverktyg!$D$42="Ja"),$D90*$E90*Diskonteringsverktyg!$D$39*Diskonteringsverktyg!$D$40,IF(AND(Diskonteringsverktyg!$D$41="Ja",Diskonteringsverktyg!$D$42="Nej"),$E90*Diskonteringsverktyg!$D$39*Diskonteringsverktyg!$D$40,IF(AND(Diskonteringsverktyg!$D$41="Nej",Diskonteringsverktyg!$D$42="Ja"),$D90*Diskonteringsverktyg!$D$39*Diskonteringsverktyg!$D$40,Diskonteringsverktyg!$D$39*Diskonteringsverktyg!$D$40)))</f>
        <v>0</v>
      </c>
      <c r="J90" s="23">
        <f>IF(AND(Diskonteringsverktyg!$D$45="Ja",Diskonteringsverktyg!$D$46="Ja"),$D90*$E90*Diskonteringsverktyg!$D$43*Diskonteringsverktyg!$D$44,IF(AND(Diskonteringsverktyg!$D$45="Ja",Diskonteringsverktyg!$D$46="Nej"),$E90*Diskonteringsverktyg!$D$43*Diskonteringsverktyg!$D$44,IF(AND(Diskonteringsverktyg!$D$45="Nej",Diskonteringsverktyg!$D$46="Ja"),$D90*Diskonteringsverktyg!$D$43*Diskonteringsverktyg!$D$44,Diskonteringsverktyg!$D$43*Diskonteringsverktyg!$D$44)))</f>
        <v>0</v>
      </c>
      <c r="K90" s="23">
        <f t="shared" si="6"/>
        <v>12108.149225460464</v>
      </c>
      <c r="L90" s="23">
        <f t="shared" si="7"/>
        <v>673.11362592153</v>
      </c>
      <c r="M90" s="23">
        <f>IF((B90&lt;=Diskonteringsverktyg!$D$16),Diskonteringsverktyg!$D$50*Diskonteringsverktyg!$D$14^(B90-Diskonteringsverktyg!$D$11),M89)</f>
        <v>2481.1008426959897</v>
      </c>
      <c r="N90" s="23">
        <f t="shared" si="8"/>
        <v>137.92882408422335</v>
      </c>
      <c r="O90" s="30"/>
    </row>
    <row r="91" spans="1:15" x14ac:dyDescent="0.2">
      <c r="A91" s="97">
        <v>85</v>
      </c>
      <c r="B91" s="88">
        <f>Diskonteringsverktyg!$D$12+A91</f>
        <v>2113</v>
      </c>
      <c r="C91" s="22">
        <f>1/(Diskonteringsverktyg!$D$9)^(B91-Diskonteringsverktyg!$D$10)</f>
        <v>5.3711869360286178E-2</v>
      </c>
      <c r="D91" s="21">
        <f>IF(B91&lt;=Diskonteringsverktyg!$D$15,Diskonteringsverktyg!$D$21^(B91-Diskonteringsverktyg!$D$24),IF(AND(B91&gt;Diskonteringsverktyg!$D$15,B91&lt;=Diskonteringsverktyg!$D$16),Diskonteringsverktyg!$D$21^(Diskonteringsverktyg!$D$15-Diskonteringsverktyg!$D$24)*Diskonteringsverktyg!$D$22^(B91-Diskonteringsverktyg!$D$15),D90))</f>
        <v>1.4311229737306663</v>
      </c>
      <c r="E91" s="21">
        <f>IF(B91&lt;=Diskonteringsverktyg!$D$16,(Diskonteringsverktyg!$D$13)^(B91-Diskonteringsverktyg!$D$23),E90)</f>
        <v>1.6921186295957242</v>
      </c>
      <c r="F91" s="23">
        <f>IF(AND(Diskonteringsverktyg!$D$29="Ja",Diskonteringsverktyg!$D$30="Ja"),$D91*$E91*Diskonteringsverktyg!$D$27*Diskonteringsverktyg!$D$28,IF(AND(Diskonteringsverktyg!$D$29="Ja",Diskonteringsverktyg!$D$30="Nej"),$E91*Diskonteringsverktyg!$D$27*Diskonteringsverktyg!$D$28,IF(AND(Diskonteringsverktyg!$D$29="Nej",Diskonteringsverktyg!$D$30="Ja"),$D91*Diskonteringsverktyg!$D$27*Diskonteringsverktyg!$D$28,Diskonteringsverktyg!$D$27*Diskonteringsverktyg!$D$28)))</f>
        <v>12108.149225460464</v>
      </c>
      <c r="G91" s="23">
        <f>IF(AND(Diskonteringsverktyg!$D$33="Ja",Diskonteringsverktyg!$D$34="Ja"),$D91*$E91*Diskonteringsverktyg!$D$31*Diskonteringsverktyg!$D$32,IF(AND(Diskonteringsverktyg!$D$33="Ja",Diskonteringsverktyg!$D$34="Nej"),$E91*Diskonteringsverktyg!$D$31*Diskonteringsverktyg!$D$32,IF(AND(Diskonteringsverktyg!$D$33="Nej",Diskonteringsverktyg!$D$34="Ja"),$D91*Diskonteringsverktyg!$D$31*Diskonteringsverktyg!$D$32,Diskonteringsverktyg!$D$31*Diskonteringsverktyg!$D$32)))</f>
        <v>0</v>
      </c>
      <c r="H91" s="23">
        <f>IF(AND(Diskonteringsverktyg!$D$37="Ja",Diskonteringsverktyg!$D$38="Ja"),$D91*$E91*Diskonteringsverktyg!$D$35*Diskonteringsverktyg!$D$36,IF(AND(Diskonteringsverktyg!$D$37="Ja",Diskonteringsverktyg!$D$38="Nej"),$E91*Diskonteringsverktyg!$D$35*Diskonteringsverktyg!$D$36,IF(AND(Diskonteringsverktyg!$D$37="Nej",Diskonteringsverktyg!$D$38="Ja"),$D91*Diskonteringsverktyg!$D$35*Diskonteringsverktyg!$D$36,Diskonteringsverktyg!$D$35*Diskonteringsverktyg!$D$36)))</f>
        <v>0</v>
      </c>
      <c r="I91" s="23">
        <f>IF(AND(Diskonteringsverktyg!$D$41="Ja",Diskonteringsverktyg!$D$42="Ja"),$D91*$E91*Diskonteringsverktyg!$D$39*Diskonteringsverktyg!$D$40,IF(AND(Diskonteringsverktyg!$D$41="Ja",Diskonteringsverktyg!$D$42="Nej"),$E91*Diskonteringsverktyg!$D$39*Diskonteringsverktyg!$D$40,IF(AND(Diskonteringsverktyg!$D$41="Nej",Diskonteringsverktyg!$D$42="Ja"),$D91*Diskonteringsverktyg!$D$39*Diskonteringsverktyg!$D$40,Diskonteringsverktyg!$D$39*Diskonteringsverktyg!$D$40)))</f>
        <v>0</v>
      </c>
      <c r="J91" s="23">
        <f>IF(AND(Diskonteringsverktyg!$D$45="Ja",Diskonteringsverktyg!$D$46="Ja"),$D91*$E91*Diskonteringsverktyg!$D$43*Diskonteringsverktyg!$D$44,IF(AND(Diskonteringsverktyg!$D$45="Ja",Diskonteringsverktyg!$D$46="Nej"),$E91*Diskonteringsverktyg!$D$43*Diskonteringsverktyg!$D$44,IF(AND(Diskonteringsverktyg!$D$45="Nej",Diskonteringsverktyg!$D$46="Ja"),$D91*Diskonteringsverktyg!$D$43*Diskonteringsverktyg!$D$44,Diskonteringsverktyg!$D$43*Diskonteringsverktyg!$D$44)))</f>
        <v>0</v>
      </c>
      <c r="K91" s="23">
        <f t="shared" si="6"/>
        <v>12108.149225460464</v>
      </c>
      <c r="L91" s="23">
        <f t="shared" si="7"/>
        <v>650.35132939278265</v>
      </c>
      <c r="M91" s="23">
        <f>IF((B91&lt;=Diskonteringsverktyg!$D$16),Diskonteringsverktyg!$D$50*Diskonteringsverktyg!$D$14^(B91-Diskonteringsverktyg!$D$11),M90)</f>
        <v>2481.1008426959897</v>
      </c>
      <c r="N91" s="23">
        <f t="shared" si="8"/>
        <v>133.26456433258295</v>
      </c>
      <c r="O91" s="30"/>
    </row>
    <row r="92" spans="1:15" x14ac:dyDescent="0.2">
      <c r="A92" s="97">
        <v>86</v>
      </c>
      <c r="B92" s="88">
        <f>Diskonteringsverktyg!$D$12+A92</f>
        <v>2114</v>
      </c>
      <c r="C92" s="22">
        <f>1/(Diskonteringsverktyg!$D$9)^(B92-Diskonteringsverktyg!$D$10)</f>
        <v>5.1895525951967315E-2</v>
      </c>
      <c r="D92" s="21">
        <f>IF(B92&lt;=Diskonteringsverktyg!$D$15,Diskonteringsverktyg!$D$21^(B92-Diskonteringsverktyg!$D$24),IF(AND(B92&gt;Diskonteringsverktyg!$D$15,B92&lt;=Diskonteringsverktyg!$D$16),Diskonteringsverktyg!$D$21^(Diskonteringsverktyg!$D$15-Diskonteringsverktyg!$D$24)*Diskonteringsverktyg!$D$22^(B92-Diskonteringsverktyg!$D$15),D91))</f>
        <v>1.4311229737306663</v>
      </c>
      <c r="E92" s="21">
        <f>IF(B92&lt;=Diskonteringsverktyg!$D$16,(Diskonteringsverktyg!$D$13)^(B92-Diskonteringsverktyg!$D$23),E91)</f>
        <v>1.6921186295957242</v>
      </c>
      <c r="F92" s="23">
        <f>IF(AND(Diskonteringsverktyg!$D$29="Ja",Diskonteringsverktyg!$D$30="Ja"),$D92*$E92*Diskonteringsverktyg!$D$27*Diskonteringsverktyg!$D$28,IF(AND(Diskonteringsverktyg!$D$29="Ja",Diskonteringsverktyg!$D$30="Nej"),$E92*Diskonteringsverktyg!$D$27*Diskonteringsverktyg!$D$28,IF(AND(Diskonteringsverktyg!$D$29="Nej",Diskonteringsverktyg!$D$30="Ja"),$D92*Diskonteringsverktyg!$D$27*Diskonteringsverktyg!$D$28,Diskonteringsverktyg!$D$27*Diskonteringsverktyg!$D$28)))</f>
        <v>12108.149225460464</v>
      </c>
      <c r="G92" s="23">
        <f>IF(AND(Diskonteringsverktyg!$D$33="Ja",Diskonteringsverktyg!$D$34="Ja"),$D92*$E92*Diskonteringsverktyg!$D$31*Diskonteringsverktyg!$D$32,IF(AND(Diskonteringsverktyg!$D$33="Ja",Diskonteringsverktyg!$D$34="Nej"),$E92*Diskonteringsverktyg!$D$31*Diskonteringsverktyg!$D$32,IF(AND(Diskonteringsverktyg!$D$33="Nej",Diskonteringsverktyg!$D$34="Ja"),$D92*Diskonteringsverktyg!$D$31*Diskonteringsverktyg!$D$32,Diskonteringsverktyg!$D$31*Diskonteringsverktyg!$D$32)))</f>
        <v>0</v>
      </c>
      <c r="H92" s="23">
        <f>IF(AND(Diskonteringsverktyg!$D$37="Ja",Diskonteringsverktyg!$D$38="Ja"),$D92*$E92*Diskonteringsverktyg!$D$35*Diskonteringsverktyg!$D$36,IF(AND(Diskonteringsverktyg!$D$37="Ja",Diskonteringsverktyg!$D$38="Nej"),$E92*Diskonteringsverktyg!$D$35*Diskonteringsverktyg!$D$36,IF(AND(Diskonteringsverktyg!$D$37="Nej",Diskonteringsverktyg!$D$38="Ja"),$D92*Diskonteringsverktyg!$D$35*Diskonteringsverktyg!$D$36,Diskonteringsverktyg!$D$35*Diskonteringsverktyg!$D$36)))</f>
        <v>0</v>
      </c>
      <c r="I92" s="23">
        <f>IF(AND(Diskonteringsverktyg!$D$41="Ja",Diskonteringsverktyg!$D$42="Ja"),$D92*$E92*Diskonteringsverktyg!$D$39*Diskonteringsverktyg!$D$40,IF(AND(Diskonteringsverktyg!$D$41="Ja",Diskonteringsverktyg!$D$42="Nej"),$E92*Diskonteringsverktyg!$D$39*Diskonteringsverktyg!$D$40,IF(AND(Diskonteringsverktyg!$D$41="Nej",Diskonteringsverktyg!$D$42="Ja"),$D92*Diskonteringsverktyg!$D$39*Diskonteringsverktyg!$D$40,Diskonteringsverktyg!$D$39*Diskonteringsverktyg!$D$40)))</f>
        <v>0</v>
      </c>
      <c r="J92" s="23">
        <f>IF(AND(Diskonteringsverktyg!$D$45="Ja",Diskonteringsverktyg!$D$46="Ja"),$D92*$E92*Diskonteringsverktyg!$D$43*Diskonteringsverktyg!$D$44,IF(AND(Diskonteringsverktyg!$D$45="Ja",Diskonteringsverktyg!$D$46="Nej"),$E92*Diskonteringsverktyg!$D$43*Diskonteringsverktyg!$D$44,IF(AND(Diskonteringsverktyg!$D$45="Nej",Diskonteringsverktyg!$D$46="Ja"),$D92*Diskonteringsverktyg!$D$43*Diskonteringsverktyg!$D$44,Diskonteringsverktyg!$D$43*Diskonteringsverktyg!$D$44)))</f>
        <v>0</v>
      </c>
      <c r="K92" s="23">
        <f t="shared" si="6"/>
        <v>12108.149225460464</v>
      </c>
      <c r="L92" s="23">
        <f t="shared" si="7"/>
        <v>628.35877236017643</v>
      </c>
      <c r="M92" s="23">
        <f>IF((B92&lt;=Diskonteringsverktyg!$D$16),Diskonteringsverktyg!$D$50*Diskonteringsverktyg!$D$14^(B92-Diskonteringsverktyg!$D$11),M91)</f>
        <v>2481.1008426959897</v>
      </c>
      <c r="N92" s="23">
        <f t="shared" si="8"/>
        <v>128.75803317157772</v>
      </c>
      <c r="O92" s="30"/>
    </row>
    <row r="93" spans="1:15" x14ac:dyDescent="0.2">
      <c r="A93" s="97">
        <v>87</v>
      </c>
      <c r="B93" s="88">
        <f>Diskonteringsverktyg!$D$12+A93</f>
        <v>2115</v>
      </c>
      <c r="C93" s="22">
        <f>1/(Diskonteringsverktyg!$D$9)^(B93-Diskonteringsverktyg!$D$10)</f>
        <v>5.014060478450949E-2</v>
      </c>
      <c r="D93" s="21">
        <f>IF(B93&lt;=Diskonteringsverktyg!$D$15,Diskonteringsverktyg!$D$21^(B93-Diskonteringsverktyg!$D$24),IF(AND(B93&gt;Diskonteringsverktyg!$D$15,B93&lt;=Diskonteringsverktyg!$D$16),Diskonteringsverktyg!$D$21^(Diskonteringsverktyg!$D$15-Diskonteringsverktyg!$D$24)*Diskonteringsverktyg!$D$22^(B93-Diskonteringsverktyg!$D$15),D92))</f>
        <v>1.4311229737306663</v>
      </c>
      <c r="E93" s="21">
        <f>IF(B93&lt;=Diskonteringsverktyg!$D$16,(Diskonteringsverktyg!$D$13)^(B93-Diskonteringsverktyg!$D$23),E92)</f>
        <v>1.6921186295957242</v>
      </c>
      <c r="F93" s="23">
        <f>IF(AND(Diskonteringsverktyg!$D$29="Ja",Diskonteringsverktyg!$D$30="Ja"),$D93*$E93*Diskonteringsverktyg!$D$27*Diskonteringsverktyg!$D$28,IF(AND(Diskonteringsverktyg!$D$29="Ja",Diskonteringsverktyg!$D$30="Nej"),$E93*Diskonteringsverktyg!$D$27*Diskonteringsverktyg!$D$28,IF(AND(Diskonteringsverktyg!$D$29="Nej",Diskonteringsverktyg!$D$30="Ja"),$D93*Diskonteringsverktyg!$D$27*Diskonteringsverktyg!$D$28,Diskonteringsverktyg!$D$27*Diskonteringsverktyg!$D$28)))</f>
        <v>12108.149225460464</v>
      </c>
      <c r="G93" s="23">
        <f>IF(AND(Diskonteringsverktyg!$D$33="Ja",Diskonteringsverktyg!$D$34="Ja"),$D93*$E93*Diskonteringsverktyg!$D$31*Diskonteringsverktyg!$D$32,IF(AND(Diskonteringsverktyg!$D$33="Ja",Diskonteringsverktyg!$D$34="Nej"),$E93*Diskonteringsverktyg!$D$31*Diskonteringsverktyg!$D$32,IF(AND(Diskonteringsverktyg!$D$33="Nej",Diskonteringsverktyg!$D$34="Ja"),$D93*Diskonteringsverktyg!$D$31*Diskonteringsverktyg!$D$32,Diskonteringsverktyg!$D$31*Diskonteringsverktyg!$D$32)))</f>
        <v>0</v>
      </c>
      <c r="H93" s="23">
        <f>IF(AND(Diskonteringsverktyg!$D$37="Ja",Diskonteringsverktyg!$D$38="Ja"),$D93*$E93*Diskonteringsverktyg!$D$35*Diskonteringsverktyg!$D$36,IF(AND(Diskonteringsverktyg!$D$37="Ja",Diskonteringsverktyg!$D$38="Nej"),$E93*Diskonteringsverktyg!$D$35*Diskonteringsverktyg!$D$36,IF(AND(Diskonteringsverktyg!$D$37="Nej",Diskonteringsverktyg!$D$38="Ja"),$D93*Diskonteringsverktyg!$D$35*Diskonteringsverktyg!$D$36,Diskonteringsverktyg!$D$35*Diskonteringsverktyg!$D$36)))</f>
        <v>0</v>
      </c>
      <c r="I93" s="23">
        <f>IF(AND(Diskonteringsverktyg!$D$41="Ja",Diskonteringsverktyg!$D$42="Ja"),$D93*$E93*Diskonteringsverktyg!$D$39*Diskonteringsverktyg!$D$40,IF(AND(Diskonteringsverktyg!$D$41="Ja",Diskonteringsverktyg!$D$42="Nej"),$E93*Diskonteringsverktyg!$D$39*Diskonteringsverktyg!$D$40,IF(AND(Diskonteringsverktyg!$D$41="Nej",Diskonteringsverktyg!$D$42="Ja"),$D93*Diskonteringsverktyg!$D$39*Diskonteringsverktyg!$D$40,Diskonteringsverktyg!$D$39*Diskonteringsverktyg!$D$40)))</f>
        <v>0</v>
      </c>
      <c r="J93" s="23">
        <f>IF(AND(Diskonteringsverktyg!$D$45="Ja",Diskonteringsverktyg!$D$46="Ja"),$D93*$E93*Diskonteringsverktyg!$D$43*Diskonteringsverktyg!$D$44,IF(AND(Diskonteringsverktyg!$D$45="Ja",Diskonteringsverktyg!$D$46="Nej"),$E93*Diskonteringsverktyg!$D$43*Diskonteringsverktyg!$D$44,IF(AND(Diskonteringsverktyg!$D$45="Nej",Diskonteringsverktyg!$D$46="Ja"),$D93*Diskonteringsverktyg!$D$43*Diskonteringsverktyg!$D$44,Diskonteringsverktyg!$D$43*Diskonteringsverktyg!$D$44)))</f>
        <v>0</v>
      </c>
      <c r="K93" s="23">
        <f t="shared" si="6"/>
        <v>12108.149225460464</v>
      </c>
      <c r="L93" s="23">
        <f t="shared" si="7"/>
        <v>607.10992498567782</v>
      </c>
      <c r="M93" s="23">
        <f>IF((B93&lt;=Diskonteringsverktyg!$D$16),Diskonteringsverktyg!$D$50*Diskonteringsverktyg!$D$14^(B93-Diskonteringsverktyg!$D$11),M92)</f>
        <v>2481.1008426959897</v>
      </c>
      <c r="N93" s="23">
        <f t="shared" si="8"/>
        <v>124.40389678413307</v>
      </c>
      <c r="O93" s="30"/>
    </row>
    <row r="94" spans="1:15" x14ac:dyDescent="0.2">
      <c r="A94" s="97">
        <v>88</v>
      </c>
      <c r="B94" s="88">
        <f>Diskonteringsverktyg!$D$12+A94</f>
        <v>2116</v>
      </c>
      <c r="C94" s="22">
        <f>1/(Diskonteringsverktyg!$D$9)^(B94-Diskonteringsverktyg!$D$10)</f>
        <v>4.8445028777303868E-2</v>
      </c>
      <c r="D94" s="21">
        <f>IF(B94&lt;=Diskonteringsverktyg!$D$15,Diskonteringsverktyg!$D$21^(B94-Diskonteringsverktyg!$D$24),IF(AND(B94&gt;Diskonteringsverktyg!$D$15,B94&lt;=Diskonteringsverktyg!$D$16),Diskonteringsverktyg!$D$21^(Diskonteringsverktyg!$D$15-Diskonteringsverktyg!$D$24)*Diskonteringsverktyg!$D$22^(B94-Diskonteringsverktyg!$D$15),D93))</f>
        <v>1.4311229737306663</v>
      </c>
      <c r="E94" s="21">
        <f>IF(B94&lt;=Diskonteringsverktyg!$D$16,(Diskonteringsverktyg!$D$13)^(B94-Diskonteringsverktyg!$D$23),E93)</f>
        <v>1.6921186295957242</v>
      </c>
      <c r="F94" s="23">
        <f>IF(AND(Diskonteringsverktyg!$D$29="Ja",Diskonteringsverktyg!$D$30="Ja"),$D94*$E94*Diskonteringsverktyg!$D$27*Diskonteringsverktyg!$D$28,IF(AND(Diskonteringsverktyg!$D$29="Ja",Diskonteringsverktyg!$D$30="Nej"),$E94*Diskonteringsverktyg!$D$27*Diskonteringsverktyg!$D$28,IF(AND(Diskonteringsverktyg!$D$29="Nej",Diskonteringsverktyg!$D$30="Ja"),$D94*Diskonteringsverktyg!$D$27*Diskonteringsverktyg!$D$28,Diskonteringsverktyg!$D$27*Diskonteringsverktyg!$D$28)))</f>
        <v>12108.149225460464</v>
      </c>
      <c r="G94" s="23">
        <f>IF(AND(Diskonteringsverktyg!$D$33="Ja",Diskonteringsverktyg!$D$34="Ja"),$D94*$E94*Diskonteringsverktyg!$D$31*Diskonteringsverktyg!$D$32,IF(AND(Diskonteringsverktyg!$D$33="Ja",Diskonteringsverktyg!$D$34="Nej"),$E94*Diskonteringsverktyg!$D$31*Diskonteringsverktyg!$D$32,IF(AND(Diskonteringsverktyg!$D$33="Nej",Diskonteringsverktyg!$D$34="Ja"),$D94*Diskonteringsverktyg!$D$31*Diskonteringsverktyg!$D$32,Diskonteringsverktyg!$D$31*Diskonteringsverktyg!$D$32)))</f>
        <v>0</v>
      </c>
      <c r="H94" s="23">
        <f>IF(AND(Diskonteringsverktyg!$D$37="Ja",Diskonteringsverktyg!$D$38="Ja"),$D94*$E94*Diskonteringsverktyg!$D$35*Diskonteringsverktyg!$D$36,IF(AND(Diskonteringsverktyg!$D$37="Ja",Diskonteringsverktyg!$D$38="Nej"),$E94*Diskonteringsverktyg!$D$35*Diskonteringsverktyg!$D$36,IF(AND(Diskonteringsverktyg!$D$37="Nej",Diskonteringsverktyg!$D$38="Ja"),$D94*Diskonteringsverktyg!$D$35*Diskonteringsverktyg!$D$36,Diskonteringsverktyg!$D$35*Diskonteringsverktyg!$D$36)))</f>
        <v>0</v>
      </c>
      <c r="I94" s="23">
        <f>IF(AND(Diskonteringsverktyg!$D$41="Ja",Diskonteringsverktyg!$D$42="Ja"),$D94*$E94*Diskonteringsverktyg!$D$39*Diskonteringsverktyg!$D$40,IF(AND(Diskonteringsverktyg!$D$41="Ja",Diskonteringsverktyg!$D$42="Nej"),$E94*Diskonteringsverktyg!$D$39*Diskonteringsverktyg!$D$40,IF(AND(Diskonteringsverktyg!$D$41="Nej",Diskonteringsverktyg!$D$42="Ja"),$D94*Diskonteringsverktyg!$D$39*Diskonteringsverktyg!$D$40,Diskonteringsverktyg!$D$39*Diskonteringsverktyg!$D$40)))</f>
        <v>0</v>
      </c>
      <c r="J94" s="23">
        <f>IF(AND(Diskonteringsverktyg!$D$45="Ja",Diskonteringsverktyg!$D$46="Ja"),$D94*$E94*Diskonteringsverktyg!$D$43*Diskonteringsverktyg!$D$44,IF(AND(Diskonteringsverktyg!$D$45="Ja",Diskonteringsverktyg!$D$46="Nej"),$E94*Diskonteringsverktyg!$D$43*Diskonteringsverktyg!$D$44,IF(AND(Diskonteringsverktyg!$D$45="Nej",Diskonteringsverktyg!$D$46="Ja"),$D94*Diskonteringsverktyg!$D$43*Diskonteringsverktyg!$D$44,Diskonteringsverktyg!$D$43*Diskonteringsverktyg!$D$44)))</f>
        <v>0</v>
      </c>
      <c r="K94" s="23">
        <f t="shared" si="6"/>
        <v>12108.149225460464</v>
      </c>
      <c r="L94" s="23">
        <f t="shared" si="7"/>
        <v>586.57963766732166</v>
      </c>
      <c r="M94" s="23">
        <f>IF((B94&lt;=Diskonteringsverktyg!$D$16),Diskonteringsverktyg!$D$50*Diskonteringsverktyg!$D$14^(B94-Diskonteringsverktyg!$D$11),M93)</f>
        <v>2481.1008426959897</v>
      </c>
      <c r="N94" s="23">
        <f t="shared" si="8"/>
        <v>120.1970017238001</v>
      </c>
      <c r="O94" s="30"/>
    </row>
    <row r="95" spans="1:15" x14ac:dyDescent="0.2">
      <c r="A95" s="97">
        <v>89</v>
      </c>
      <c r="B95" s="88">
        <f>Diskonteringsverktyg!$D$12+A95</f>
        <v>2117</v>
      </c>
      <c r="C95" s="22">
        <f>1/(Diskonteringsverktyg!$D$9)^(B95-Diskonteringsverktyg!$D$10)</f>
        <v>4.6806791089182481E-2</v>
      </c>
      <c r="D95" s="21">
        <f>IF(B95&lt;=Diskonteringsverktyg!$D$15,Diskonteringsverktyg!$D$21^(B95-Diskonteringsverktyg!$D$24),IF(AND(B95&gt;Diskonteringsverktyg!$D$15,B95&lt;=Diskonteringsverktyg!$D$16),Diskonteringsverktyg!$D$21^(Diskonteringsverktyg!$D$15-Diskonteringsverktyg!$D$24)*Diskonteringsverktyg!$D$22^(B95-Diskonteringsverktyg!$D$15),D94))</f>
        <v>1.4311229737306663</v>
      </c>
      <c r="E95" s="21">
        <f>IF(B95&lt;=Diskonteringsverktyg!$D$16,(Diskonteringsverktyg!$D$13)^(B95-Diskonteringsverktyg!$D$23),E94)</f>
        <v>1.6921186295957242</v>
      </c>
      <c r="F95" s="23">
        <f>IF(AND(Diskonteringsverktyg!$D$29="Ja",Diskonteringsverktyg!$D$30="Ja"),$D95*$E95*Diskonteringsverktyg!$D$27*Diskonteringsverktyg!$D$28,IF(AND(Diskonteringsverktyg!$D$29="Ja",Diskonteringsverktyg!$D$30="Nej"),$E95*Diskonteringsverktyg!$D$27*Diskonteringsverktyg!$D$28,IF(AND(Diskonteringsverktyg!$D$29="Nej",Diskonteringsverktyg!$D$30="Ja"),$D95*Diskonteringsverktyg!$D$27*Diskonteringsverktyg!$D$28,Diskonteringsverktyg!$D$27*Diskonteringsverktyg!$D$28)))</f>
        <v>12108.149225460464</v>
      </c>
      <c r="G95" s="23">
        <f>IF(AND(Diskonteringsverktyg!$D$33="Ja",Diskonteringsverktyg!$D$34="Ja"),$D95*$E95*Diskonteringsverktyg!$D$31*Diskonteringsverktyg!$D$32,IF(AND(Diskonteringsverktyg!$D$33="Ja",Diskonteringsverktyg!$D$34="Nej"),$E95*Diskonteringsverktyg!$D$31*Diskonteringsverktyg!$D$32,IF(AND(Diskonteringsverktyg!$D$33="Nej",Diskonteringsverktyg!$D$34="Ja"),$D95*Diskonteringsverktyg!$D$31*Diskonteringsverktyg!$D$32,Diskonteringsverktyg!$D$31*Diskonteringsverktyg!$D$32)))</f>
        <v>0</v>
      </c>
      <c r="H95" s="23">
        <f>IF(AND(Diskonteringsverktyg!$D$37="Ja",Diskonteringsverktyg!$D$38="Ja"),$D95*$E95*Diskonteringsverktyg!$D$35*Diskonteringsverktyg!$D$36,IF(AND(Diskonteringsverktyg!$D$37="Ja",Diskonteringsverktyg!$D$38="Nej"),$E95*Diskonteringsverktyg!$D$35*Diskonteringsverktyg!$D$36,IF(AND(Diskonteringsverktyg!$D$37="Nej",Diskonteringsverktyg!$D$38="Ja"),$D95*Diskonteringsverktyg!$D$35*Diskonteringsverktyg!$D$36,Diskonteringsverktyg!$D$35*Diskonteringsverktyg!$D$36)))</f>
        <v>0</v>
      </c>
      <c r="I95" s="23">
        <f>IF(AND(Diskonteringsverktyg!$D$41="Ja",Diskonteringsverktyg!$D$42="Ja"),$D95*$E95*Diskonteringsverktyg!$D$39*Diskonteringsverktyg!$D$40,IF(AND(Diskonteringsverktyg!$D$41="Ja",Diskonteringsverktyg!$D$42="Nej"),$E95*Diskonteringsverktyg!$D$39*Diskonteringsverktyg!$D$40,IF(AND(Diskonteringsverktyg!$D$41="Nej",Diskonteringsverktyg!$D$42="Ja"),$D95*Diskonteringsverktyg!$D$39*Diskonteringsverktyg!$D$40,Diskonteringsverktyg!$D$39*Diskonteringsverktyg!$D$40)))</f>
        <v>0</v>
      </c>
      <c r="J95" s="23">
        <f>IF(AND(Diskonteringsverktyg!$D$45="Ja",Diskonteringsverktyg!$D$46="Ja"),$D95*$E95*Diskonteringsverktyg!$D$43*Diskonteringsverktyg!$D$44,IF(AND(Diskonteringsverktyg!$D$45="Ja",Diskonteringsverktyg!$D$46="Nej"),$E95*Diskonteringsverktyg!$D$43*Diskonteringsverktyg!$D$44,IF(AND(Diskonteringsverktyg!$D$45="Nej",Diskonteringsverktyg!$D$46="Ja"),$D95*Diskonteringsverktyg!$D$43*Diskonteringsverktyg!$D$44,Diskonteringsverktyg!$D$43*Diskonteringsverktyg!$D$44)))</f>
        <v>0</v>
      </c>
      <c r="K95" s="23">
        <f t="shared" si="6"/>
        <v>12108.149225460464</v>
      </c>
      <c r="L95" s="23">
        <f t="shared" si="7"/>
        <v>566.74361127277461</v>
      </c>
      <c r="M95" s="23">
        <f>IF((B95&lt;=Diskonteringsverktyg!$D$16),Diskonteringsverktyg!$D$50*Diskonteringsverktyg!$D$14^(B95-Diskonteringsverktyg!$D$11),M94)</f>
        <v>2481.1008426959897</v>
      </c>
      <c r="N95" s="23">
        <f t="shared" si="8"/>
        <v>116.13236881526579</v>
      </c>
      <c r="O95" s="30"/>
    </row>
    <row r="96" spans="1:15" x14ac:dyDescent="0.2">
      <c r="A96" s="97">
        <v>90</v>
      </c>
      <c r="B96" s="88">
        <f>Diskonteringsverktyg!$D$12+A96</f>
        <v>2118</v>
      </c>
      <c r="C96" s="22">
        <f>1/(Diskonteringsverktyg!$D$9)^(B96-Diskonteringsverktyg!$D$10)</f>
        <v>4.5223952743171487E-2</v>
      </c>
      <c r="D96" s="21">
        <f>IF(B96&lt;=Diskonteringsverktyg!$D$15,Diskonteringsverktyg!$D$21^(B96-Diskonteringsverktyg!$D$24),IF(AND(B96&gt;Diskonteringsverktyg!$D$15,B96&lt;=Diskonteringsverktyg!$D$16),Diskonteringsverktyg!$D$21^(Diskonteringsverktyg!$D$15-Diskonteringsverktyg!$D$24)*Diskonteringsverktyg!$D$22^(B96-Diskonteringsverktyg!$D$15),D95))</f>
        <v>1.4311229737306663</v>
      </c>
      <c r="E96" s="21">
        <f>IF(B96&lt;=Diskonteringsverktyg!$D$16,(Diskonteringsverktyg!$D$13)^(B96-Diskonteringsverktyg!$D$23),E95)</f>
        <v>1.6921186295957242</v>
      </c>
      <c r="F96" s="23">
        <f>IF(AND(Diskonteringsverktyg!$D$29="Ja",Diskonteringsverktyg!$D$30="Ja"),$D96*$E96*Diskonteringsverktyg!$D$27*Diskonteringsverktyg!$D$28,IF(AND(Diskonteringsverktyg!$D$29="Ja",Diskonteringsverktyg!$D$30="Nej"),$E96*Diskonteringsverktyg!$D$27*Diskonteringsverktyg!$D$28,IF(AND(Diskonteringsverktyg!$D$29="Nej",Diskonteringsverktyg!$D$30="Ja"),$D96*Diskonteringsverktyg!$D$27*Diskonteringsverktyg!$D$28,Diskonteringsverktyg!$D$27*Diskonteringsverktyg!$D$28)))</f>
        <v>12108.149225460464</v>
      </c>
      <c r="G96" s="23">
        <f>IF(AND(Diskonteringsverktyg!$D$33="Ja",Diskonteringsverktyg!$D$34="Ja"),$D96*$E96*Diskonteringsverktyg!$D$31*Diskonteringsverktyg!$D$32,IF(AND(Diskonteringsverktyg!$D$33="Ja",Diskonteringsverktyg!$D$34="Nej"),$E96*Diskonteringsverktyg!$D$31*Diskonteringsverktyg!$D$32,IF(AND(Diskonteringsverktyg!$D$33="Nej",Diskonteringsverktyg!$D$34="Ja"),$D96*Diskonteringsverktyg!$D$31*Diskonteringsverktyg!$D$32,Diskonteringsverktyg!$D$31*Diskonteringsverktyg!$D$32)))</f>
        <v>0</v>
      </c>
      <c r="H96" s="23">
        <f>IF(AND(Diskonteringsverktyg!$D$37="Ja",Diskonteringsverktyg!$D$38="Ja"),$D96*$E96*Diskonteringsverktyg!$D$35*Diskonteringsverktyg!$D$36,IF(AND(Diskonteringsverktyg!$D$37="Ja",Diskonteringsverktyg!$D$38="Nej"),$E96*Diskonteringsverktyg!$D$35*Diskonteringsverktyg!$D$36,IF(AND(Diskonteringsverktyg!$D$37="Nej",Diskonteringsverktyg!$D$38="Ja"),$D96*Diskonteringsverktyg!$D$35*Diskonteringsverktyg!$D$36,Diskonteringsverktyg!$D$35*Diskonteringsverktyg!$D$36)))</f>
        <v>0</v>
      </c>
      <c r="I96" s="23">
        <f>IF(AND(Diskonteringsverktyg!$D$41="Ja",Diskonteringsverktyg!$D$42="Ja"),$D96*$E96*Diskonteringsverktyg!$D$39*Diskonteringsverktyg!$D$40,IF(AND(Diskonteringsverktyg!$D$41="Ja",Diskonteringsverktyg!$D$42="Nej"),$E96*Diskonteringsverktyg!$D$39*Diskonteringsverktyg!$D$40,IF(AND(Diskonteringsverktyg!$D$41="Nej",Diskonteringsverktyg!$D$42="Ja"),$D96*Diskonteringsverktyg!$D$39*Diskonteringsverktyg!$D$40,Diskonteringsverktyg!$D$39*Diskonteringsverktyg!$D$40)))</f>
        <v>0</v>
      </c>
      <c r="J96" s="23">
        <f>IF(AND(Diskonteringsverktyg!$D$45="Ja",Diskonteringsverktyg!$D$46="Ja"),$D96*$E96*Diskonteringsverktyg!$D$43*Diskonteringsverktyg!$D$44,IF(AND(Diskonteringsverktyg!$D$45="Ja",Diskonteringsverktyg!$D$46="Nej"),$E96*Diskonteringsverktyg!$D$43*Diskonteringsverktyg!$D$44,IF(AND(Diskonteringsverktyg!$D$45="Nej",Diskonteringsverktyg!$D$46="Ja"),$D96*Diskonteringsverktyg!$D$43*Diskonteringsverktyg!$D$44,Diskonteringsverktyg!$D$43*Diskonteringsverktyg!$D$44)))</f>
        <v>0</v>
      </c>
      <c r="K96" s="23">
        <f t="shared" si="6"/>
        <v>12108.149225460464</v>
      </c>
      <c r="L96" s="23">
        <f t="shared" si="7"/>
        <v>547.57836837949242</v>
      </c>
      <c r="M96" s="23">
        <f>IF((B96&lt;=Diskonteringsverktyg!$D$16),Diskonteringsverktyg!$D$50*Diskonteringsverktyg!$D$14^(B96-Diskonteringsverktyg!$D$11),M95)</f>
        <v>2481.1008426959897</v>
      </c>
      <c r="N96" s="23">
        <f t="shared" si="8"/>
        <v>112.2051872611264</v>
      </c>
      <c r="O96" s="30"/>
    </row>
    <row r="97" spans="1:15" x14ac:dyDescent="0.2">
      <c r="A97" s="97">
        <v>91</v>
      </c>
      <c r="B97" s="88">
        <f>Diskonteringsverktyg!$D$12+A97</f>
        <v>2119</v>
      </c>
      <c r="C97" s="22">
        <f>1/(Diskonteringsverktyg!$D$9)^(B97-Diskonteringsverktyg!$D$10)</f>
        <v>4.3694640331566649E-2</v>
      </c>
      <c r="D97" s="21">
        <f>IF(B97&lt;=Diskonteringsverktyg!$D$15,Diskonteringsverktyg!$D$21^(B97-Diskonteringsverktyg!$D$24),IF(AND(B97&gt;Diskonteringsverktyg!$D$15,B97&lt;=Diskonteringsverktyg!$D$16),Diskonteringsverktyg!$D$21^(Diskonteringsverktyg!$D$15-Diskonteringsverktyg!$D$24)*Diskonteringsverktyg!$D$22^(B97-Diskonteringsverktyg!$D$15),D96))</f>
        <v>1.4311229737306663</v>
      </c>
      <c r="E97" s="21">
        <f>IF(B97&lt;=Diskonteringsverktyg!$D$16,(Diskonteringsverktyg!$D$13)^(B97-Diskonteringsverktyg!$D$23),E96)</f>
        <v>1.6921186295957242</v>
      </c>
      <c r="F97" s="23">
        <f>IF(AND(Diskonteringsverktyg!$D$29="Ja",Diskonteringsverktyg!$D$30="Ja"),$D97*$E97*Diskonteringsverktyg!$D$27*Diskonteringsverktyg!$D$28,IF(AND(Diskonteringsverktyg!$D$29="Ja",Diskonteringsverktyg!$D$30="Nej"),$E97*Diskonteringsverktyg!$D$27*Diskonteringsverktyg!$D$28,IF(AND(Diskonteringsverktyg!$D$29="Nej",Diskonteringsverktyg!$D$30="Ja"),$D97*Diskonteringsverktyg!$D$27*Diskonteringsverktyg!$D$28,Diskonteringsverktyg!$D$27*Diskonteringsverktyg!$D$28)))</f>
        <v>12108.149225460464</v>
      </c>
      <c r="G97" s="23">
        <f>IF(AND(Diskonteringsverktyg!$D$33="Ja",Diskonteringsverktyg!$D$34="Ja"),$D97*$E97*Diskonteringsverktyg!$D$31*Diskonteringsverktyg!$D$32,IF(AND(Diskonteringsverktyg!$D$33="Ja",Diskonteringsverktyg!$D$34="Nej"),$E97*Diskonteringsverktyg!$D$31*Diskonteringsverktyg!$D$32,IF(AND(Diskonteringsverktyg!$D$33="Nej",Diskonteringsverktyg!$D$34="Ja"),$D97*Diskonteringsverktyg!$D$31*Diskonteringsverktyg!$D$32,Diskonteringsverktyg!$D$31*Diskonteringsverktyg!$D$32)))</f>
        <v>0</v>
      </c>
      <c r="H97" s="23">
        <f>IF(AND(Diskonteringsverktyg!$D$37="Ja",Diskonteringsverktyg!$D$38="Ja"),$D97*$E97*Diskonteringsverktyg!$D$35*Diskonteringsverktyg!$D$36,IF(AND(Diskonteringsverktyg!$D$37="Ja",Diskonteringsverktyg!$D$38="Nej"),$E97*Diskonteringsverktyg!$D$35*Diskonteringsverktyg!$D$36,IF(AND(Diskonteringsverktyg!$D$37="Nej",Diskonteringsverktyg!$D$38="Ja"),$D97*Diskonteringsverktyg!$D$35*Diskonteringsverktyg!$D$36,Diskonteringsverktyg!$D$35*Diskonteringsverktyg!$D$36)))</f>
        <v>0</v>
      </c>
      <c r="I97" s="23">
        <f>IF(AND(Diskonteringsverktyg!$D$41="Ja",Diskonteringsverktyg!$D$42="Ja"),$D97*$E97*Diskonteringsverktyg!$D$39*Diskonteringsverktyg!$D$40,IF(AND(Diskonteringsverktyg!$D$41="Ja",Diskonteringsverktyg!$D$42="Nej"),$E97*Diskonteringsverktyg!$D$39*Diskonteringsverktyg!$D$40,IF(AND(Diskonteringsverktyg!$D$41="Nej",Diskonteringsverktyg!$D$42="Ja"),$D97*Diskonteringsverktyg!$D$39*Diskonteringsverktyg!$D$40,Diskonteringsverktyg!$D$39*Diskonteringsverktyg!$D$40)))</f>
        <v>0</v>
      </c>
      <c r="J97" s="23">
        <f>IF(AND(Diskonteringsverktyg!$D$45="Ja",Diskonteringsverktyg!$D$46="Ja"),$D97*$E97*Diskonteringsverktyg!$D$43*Diskonteringsverktyg!$D$44,IF(AND(Diskonteringsverktyg!$D$45="Ja",Diskonteringsverktyg!$D$46="Nej"),$E97*Diskonteringsverktyg!$D$43*Diskonteringsverktyg!$D$44,IF(AND(Diskonteringsverktyg!$D$45="Nej",Diskonteringsverktyg!$D$46="Ja"),$D97*Diskonteringsverktyg!$D$43*Diskonteringsverktyg!$D$44,Diskonteringsverktyg!$D$43*Diskonteringsverktyg!$D$44)))</f>
        <v>0</v>
      </c>
      <c r="K97" s="23">
        <f t="shared" si="6"/>
        <v>12108.149225460464</v>
      </c>
      <c r="L97" s="23">
        <f t="shared" si="7"/>
        <v>529.06122548743224</v>
      </c>
      <c r="M97" s="23">
        <f>IF((B97&lt;=Diskonteringsverktyg!$D$16),Diskonteringsverktyg!$D$50*Diskonteringsverktyg!$D$14^(B97-Diskonteringsverktyg!$D$11),M96)</f>
        <v>2481.1008426959897</v>
      </c>
      <c r="N97" s="23">
        <f t="shared" si="8"/>
        <v>108.4108089479482</v>
      </c>
      <c r="O97" s="30"/>
    </row>
    <row r="98" spans="1:15" x14ac:dyDescent="0.2">
      <c r="A98" s="97">
        <v>92</v>
      </c>
      <c r="B98" s="88">
        <f>Diskonteringsverktyg!$D$12+A98</f>
        <v>2120</v>
      </c>
      <c r="C98" s="22">
        <f>1/(Diskonteringsverktyg!$D$9)^(B98-Diskonteringsverktyg!$D$10)</f>
        <v>4.2217043798615121E-2</v>
      </c>
      <c r="D98" s="21">
        <f>IF(B98&lt;=Diskonteringsverktyg!$D$15,Diskonteringsverktyg!$D$21^(B98-Diskonteringsverktyg!$D$24),IF(AND(B98&gt;Diskonteringsverktyg!$D$15,B98&lt;=Diskonteringsverktyg!$D$16),Diskonteringsverktyg!$D$21^(Diskonteringsverktyg!$D$15-Diskonteringsverktyg!$D$24)*Diskonteringsverktyg!$D$22^(B98-Diskonteringsverktyg!$D$15),D97))</f>
        <v>1.4311229737306663</v>
      </c>
      <c r="E98" s="21">
        <f>IF(B98&lt;=Diskonteringsverktyg!$D$16,(Diskonteringsverktyg!$D$13)^(B98-Diskonteringsverktyg!$D$23),E97)</f>
        <v>1.6921186295957242</v>
      </c>
      <c r="F98" s="23">
        <f>IF(AND(Diskonteringsverktyg!$D$29="Ja",Diskonteringsverktyg!$D$30="Ja"),$D98*$E98*Diskonteringsverktyg!$D$27*Diskonteringsverktyg!$D$28,IF(AND(Diskonteringsverktyg!$D$29="Ja",Diskonteringsverktyg!$D$30="Nej"),$E98*Diskonteringsverktyg!$D$27*Diskonteringsverktyg!$D$28,IF(AND(Diskonteringsverktyg!$D$29="Nej",Diskonteringsverktyg!$D$30="Ja"),$D98*Diskonteringsverktyg!$D$27*Diskonteringsverktyg!$D$28,Diskonteringsverktyg!$D$27*Diskonteringsverktyg!$D$28)))</f>
        <v>12108.149225460464</v>
      </c>
      <c r="G98" s="23">
        <f>IF(AND(Diskonteringsverktyg!$D$33="Ja",Diskonteringsverktyg!$D$34="Ja"),$D98*$E98*Diskonteringsverktyg!$D$31*Diskonteringsverktyg!$D$32,IF(AND(Diskonteringsverktyg!$D$33="Ja",Diskonteringsverktyg!$D$34="Nej"),$E98*Diskonteringsverktyg!$D$31*Diskonteringsverktyg!$D$32,IF(AND(Diskonteringsverktyg!$D$33="Nej",Diskonteringsverktyg!$D$34="Ja"),$D98*Diskonteringsverktyg!$D$31*Diskonteringsverktyg!$D$32,Diskonteringsverktyg!$D$31*Diskonteringsverktyg!$D$32)))</f>
        <v>0</v>
      </c>
      <c r="H98" s="23">
        <f>IF(AND(Diskonteringsverktyg!$D$37="Ja",Diskonteringsverktyg!$D$38="Ja"),$D98*$E98*Diskonteringsverktyg!$D$35*Diskonteringsverktyg!$D$36,IF(AND(Diskonteringsverktyg!$D$37="Ja",Diskonteringsverktyg!$D$38="Nej"),$E98*Diskonteringsverktyg!$D$35*Diskonteringsverktyg!$D$36,IF(AND(Diskonteringsverktyg!$D$37="Nej",Diskonteringsverktyg!$D$38="Ja"),$D98*Diskonteringsverktyg!$D$35*Diskonteringsverktyg!$D$36,Diskonteringsverktyg!$D$35*Diskonteringsverktyg!$D$36)))</f>
        <v>0</v>
      </c>
      <c r="I98" s="23">
        <f>IF(AND(Diskonteringsverktyg!$D$41="Ja",Diskonteringsverktyg!$D$42="Ja"),$D98*$E98*Diskonteringsverktyg!$D$39*Diskonteringsverktyg!$D$40,IF(AND(Diskonteringsverktyg!$D$41="Ja",Diskonteringsverktyg!$D$42="Nej"),$E98*Diskonteringsverktyg!$D$39*Diskonteringsverktyg!$D$40,IF(AND(Diskonteringsverktyg!$D$41="Nej",Diskonteringsverktyg!$D$42="Ja"),$D98*Diskonteringsverktyg!$D$39*Diskonteringsverktyg!$D$40,Diskonteringsverktyg!$D$39*Diskonteringsverktyg!$D$40)))</f>
        <v>0</v>
      </c>
      <c r="J98" s="23">
        <f>IF(AND(Diskonteringsverktyg!$D$45="Ja",Diskonteringsverktyg!$D$46="Ja"),$D98*$E98*Diskonteringsverktyg!$D$43*Diskonteringsverktyg!$D$44,IF(AND(Diskonteringsverktyg!$D$45="Ja",Diskonteringsverktyg!$D$46="Nej"),$E98*Diskonteringsverktyg!$D$43*Diskonteringsverktyg!$D$44,IF(AND(Diskonteringsverktyg!$D$45="Nej",Diskonteringsverktyg!$D$46="Ja"),$D98*Diskonteringsverktyg!$D$43*Diskonteringsverktyg!$D$44,Diskonteringsverktyg!$D$43*Diskonteringsverktyg!$D$44)))</f>
        <v>0</v>
      </c>
      <c r="K98" s="23">
        <f t="shared" si="6"/>
        <v>12108.149225460464</v>
      </c>
      <c r="L98" s="23">
        <f t="shared" si="7"/>
        <v>511.17026617143216</v>
      </c>
      <c r="M98" s="23">
        <f>IF((B98&lt;=Diskonteringsverktyg!$D$16),Diskonteringsverktyg!$D$50*Diskonteringsverktyg!$D$14^(B98-Diskonteringsverktyg!$D$11),M97)</f>
        <v>2481.1008426959897</v>
      </c>
      <c r="N98" s="23">
        <f t="shared" si="8"/>
        <v>104.74474294487749</v>
      </c>
      <c r="O98" s="30"/>
    </row>
    <row r="99" spans="1:15" x14ac:dyDescent="0.2">
      <c r="A99" s="97">
        <v>93</v>
      </c>
      <c r="B99" s="88">
        <f>Diskonteringsverktyg!$D$12+A99</f>
        <v>2121</v>
      </c>
      <c r="C99" s="22">
        <f>1/(Diskonteringsverktyg!$D$9)^(B99-Diskonteringsverktyg!$D$10)</f>
        <v>4.0789414298178867E-2</v>
      </c>
      <c r="D99" s="21">
        <f>IF(B99&lt;=Diskonteringsverktyg!$D$15,Diskonteringsverktyg!$D$21^(B99-Diskonteringsverktyg!$D$24),IF(AND(B99&gt;Diskonteringsverktyg!$D$15,B99&lt;=Diskonteringsverktyg!$D$16),Diskonteringsverktyg!$D$21^(Diskonteringsverktyg!$D$15-Diskonteringsverktyg!$D$24)*Diskonteringsverktyg!$D$22^(B99-Diskonteringsverktyg!$D$15),D98))</f>
        <v>1.4311229737306663</v>
      </c>
      <c r="E99" s="21">
        <f>IF(B99&lt;=Diskonteringsverktyg!$D$16,(Diskonteringsverktyg!$D$13)^(B99-Diskonteringsverktyg!$D$23),E98)</f>
        <v>1.6921186295957242</v>
      </c>
      <c r="F99" s="23">
        <f>IF(AND(Diskonteringsverktyg!$D$29="Ja",Diskonteringsverktyg!$D$30="Ja"),$D99*$E99*Diskonteringsverktyg!$D$27*Diskonteringsverktyg!$D$28,IF(AND(Diskonteringsverktyg!$D$29="Ja",Diskonteringsverktyg!$D$30="Nej"),$E99*Diskonteringsverktyg!$D$27*Diskonteringsverktyg!$D$28,IF(AND(Diskonteringsverktyg!$D$29="Nej",Diskonteringsverktyg!$D$30="Ja"),$D99*Diskonteringsverktyg!$D$27*Diskonteringsverktyg!$D$28,Diskonteringsverktyg!$D$27*Diskonteringsverktyg!$D$28)))</f>
        <v>12108.149225460464</v>
      </c>
      <c r="G99" s="23">
        <f>IF(AND(Diskonteringsverktyg!$D$33="Ja",Diskonteringsverktyg!$D$34="Ja"),$D99*$E99*Diskonteringsverktyg!$D$31*Diskonteringsverktyg!$D$32,IF(AND(Diskonteringsverktyg!$D$33="Ja",Diskonteringsverktyg!$D$34="Nej"),$E99*Diskonteringsverktyg!$D$31*Diskonteringsverktyg!$D$32,IF(AND(Diskonteringsverktyg!$D$33="Nej",Diskonteringsverktyg!$D$34="Ja"),$D99*Diskonteringsverktyg!$D$31*Diskonteringsverktyg!$D$32,Diskonteringsverktyg!$D$31*Diskonteringsverktyg!$D$32)))</f>
        <v>0</v>
      </c>
      <c r="H99" s="23">
        <f>IF(AND(Diskonteringsverktyg!$D$37="Ja",Diskonteringsverktyg!$D$38="Ja"),$D99*$E99*Diskonteringsverktyg!$D$35*Diskonteringsverktyg!$D$36,IF(AND(Diskonteringsverktyg!$D$37="Ja",Diskonteringsverktyg!$D$38="Nej"),$E99*Diskonteringsverktyg!$D$35*Diskonteringsverktyg!$D$36,IF(AND(Diskonteringsverktyg!$D$37="Nej",Diskonteringsverktyg!$D$38="Ja"),$D99*Diskonteringsverktyg!$D$35*Diskonteringsverktyg!$D$36,Diskonteringsverktyg!$D$35*Diskonteringsverktyg!$D$36)))</f>
        <v>0</v>
      </c>
      <c r="I99" s="23">
        <f>IF(AND(Diskonteringsverktyg!$D$41="Ja",Diskonteringsverktyg!$D$42="Ja"),$D99*$E99*Diskonteringsverktyg!$D$39*Diskonteringsverktyg!$D$40,IF(AND(Diskonteringsverktyg!$D$41="Ja",Diskonteringsverktyg!$D$42="Nej"),$E99*Diskonteringsverktyg!$D$39*Diskonteringsverktyg!$D$40,IF(AND(Diskonteringsverktyg!$D$41="Nej",Diskonteringsverktyg!$D$42="Ja"),$D99*Diskonteringsverktyg!$D$39*Diskonteringsverktyg!$D$40,Diskonteringsverktyg!$D$39*Diskonteringsverktyg!$D$40)))</f>
        <v>0</v>
      </c>
      <c r="J99" s="23">
        <f>IF(AND(Diskonteringsverktyg!$D$45="Ja",Diskonteringsverktyg!$D$46="Ja"),$D99*$E99*Diskonteringsverktyg!$D$43*Diskonteringsverktyg!$D$44,IF(AND(Diskonteringsverktyg!$D$45="Ja",Diskonteringsverktyg!$D$46="Nej"),$E99*Diskonteringsverktyg!$D$43*Diskonteringsverktyg!$D$44,IF(AND(Diskonteringsverktyg!$D$45="Nej",Diskonteringsverktyg!$D$46="Ja"),$D99*Diskonteringsverktyg!$D$43*Diskonteringsverktyg!$D$44,Diskonteringsverktyg!$D$43*Diskonteringsverktyg!$D$44)))</f>
        <v>0</v>
      </c>
      <c r="K99" s="23">
        <f t="shared" si="6"/>
        <v>12108.149225460464</v>
      </c>
      <c r="L99" s="23">
        <f t="shared" si="7"/>
        <v>493.88431514148039</v>
      </c>
      <c r="M99" s="23">
        <f>IF((B99&lt;=Diskonteringsverktyg!$D$16),Diskonteringsverktyg!$D$50*Diskonteringsverktyg!$D$14^(B99-Diskonteringsverktyg!$D$11),M98)</f>
        <v>2481.1008426959897</v>
      </c>
      <c r="N99" s="23">
        <f t="shared" si="8"/>
        <v>101.20265018828744</v>
      </c>
      <c r="O99" s="30"/>
    </row>
    <row r="100" spans="1:15" x14ac:dyDescent="0.2">
      <c r="A100" s="97">
        <v>94</v>
      </c>
      <c r="B100" s="88">
        <f>Diskonteringsverktyg!$D$12+A100</f>
        <v>2122</v>
      </c>
      <c r="C100" s="22">
        <f>1/(Diskonteringsverktyg!$D$9)^(B100-Diskonteringsverktyg!$D$10)</f>
        <v>3.9410062123844319E-2</v>
      </c>
      <c r="D100" s="21">
        <f>IF(B100&lt;=Diskonteringsverktyg!$D$15,Diskonteringsverktyg!$D$21^(B100-Diskonteringsverktyg!$D$24),IF(AND(B100&gt;Diskonteringsverktyg!$D$15,B100&lt;=Diskonteringsverktyg!$D$16),Diskonteringsverktyg!$D$21^(Diskonteringsverktyg!$D$15-Diskonteringsverktyg!$D$24)*Diskonteringsverktyg!$D$22^(B100-Diskonteringsverktyg!$D$15),D99))</f>
        <v>1.4311229737306663</v>
      </c>
      <c r="E100" s="21">
        <f>IF(B100&lt;=Diskonteringsverktyg!$D$16,(Diskonteringsverktyg!$D$13)^(B100-Diskonteringsverktyg!$D$23),E99)</f>
        <v>1.6921186295957242</v>
      </c>
      <c r="F100" s="23">
        <f>IF(AND(Diskonteringsverktyg!$D$29="Ja",Diskonteringsverktyg!$D$30="Ja"),$D100*$E100*Diskonteringsverktyg!$D$27*Diskonteringsverktyg!$D$28,IF(AND(Diskonteringsverktyg!$D$29="Ja",Diskonteringsverktyg!$D$30="Nej"),$E100*Diskonteringsverktyg!$D$27*Diskonteringsverktyg!$D$28,IF(AND(Diskonteringsverktyg!$D$29="Nej",Diskonteringsverktyg!$D$30="Ja"),$D100*Diskonteringsverktyg!$D$27*Diskonteringsverktyg!$D$28,Diskonteringsverktyg!$D$27*Diskonteringsverktyg!$D$28)))</f>
        <v>12108.149225460464</v>
      </c>
      <c r="G100" s="23">
        <f>IF(AND(Diskonteringsverktyg!$D$33="Ja",Diskonteringsverktyg!$D$34="Ja"),$D100*$E100*Diskonteringsverktyg!$D$31*Diskonteringsverktyg!$D$32,IF(AND(Diskonteringsverktyg!$D$33="Ja",Diskonteringsverktyg!$D$34="Nej"),$E100*Diskonteringsverktyg!$D$31*Diskonteringsverktyg!$D$32,IF(AND(Diskonteringsverktyg!$D$33="Nej",Diskonteringsverktyg!$D$34="Ja"),$D100*Diskonteringsverktyg!$D$31*Diskonteringsverktyg!$D$32,Diskonteringsverktyg!$D$31*Diskonteringsverktyg!$D$32)))</f>
        <v>0</v>
      </c>
      <c r="H100" s="23">
        <f>IF(AND(Diskonteringsverktyg!$D$37="Ja",Diskonteringsverktyg!$D$38="Ja"),$D100*$E100*Diskonteringsverktyg!$D$35*Diskonteringsverktyg!$D$36,IF(AND(Diskonteringsverktyg!$D$37="Ja",Diskonteringsverktyg!$D$38="Nej"),$E100*Diskonteringsverktyg!$D$35*Diskonteringsverktyg!$D$36,IF(AND(Diskonteringsverktyg!$D$37="Nej",Diskonteringsverktyg!$D$38="Ja"),$D100*Diskonteringsverktyg!$D$35*Diskonteringsverktyg!$D$36,Diskonteringsverktyg!$D$35*Diskonteringsverktyg!$D$36)))</f>
        <v>0</v>
      </c>
      <c r="I100" s="23">
        <f>IF(AND(Diskonteringsverktyg!$D$41="Ja",Diskonteringsverktyg!$D$42="Ja"),$D100*$E100*Diskonteringsverktyg!$D$39*Diskonteringsverktyg!$D$40,IF(AND(Diskonteringsverktyg!$D$41="Ja",Diskonteringsverktyg!$D$42="Nej"),$E100*Diskonteringsverktyg!$D$39*Diskonteringsverktyg!$D$40,IF(AND(Diskonteringsverktyg!$D$41="Nej",Diskonteringsverktyg!$D$42="Ja"),$D100*Diskonteringsverktyg!$D$39*Diskonteringsverktyg!$D$40,Diskonteringsverktyg!$D$39*Diskonteringsverktyg!$D$40)))</f>
        <v>0</v>
      </c>
      <c r="J100" s="23">
        <f>IF(AND(Diskonteringsverktyg!$D$45="Ja",Diskonteringsverktyg!$D$46="Ja"),$D100*$E100*Diskonteringsverktyg!$D$43*Diskonteringsverktyg!$D$44,IF(AND(Diskonteringsverktyg!$D$45="Ja",Diskonteringsverktyg!$D$46="Nej"),$E100*Diskonteringsverktyg!$D$43*Diskonteringsverktyg!$D$44,IF(AND(Diskonteringsverktyg!$D$45="Nej",Diskonteringsverktyg!$D$46="Ja"),$D100*Diskonteringsverktyg!$D$43*Diskonteringsverktyg!$D$44,Diskonteringsverktyg!$D$43*Diskonteringsverktyg!$D$44)))</f>
        <v>0</v>
      </c>
      <c r="K100" s="23">
        <f t="shared" si="6"/>
        <v>12108.149225460464</v>
      </c>
      <c r="L100" s="23">
        <f t="shared" si="7"/>
        <v>477.18291318017435</v>
      </c>
      <c r="M100" s="23">
        <f>IF((B100&lt;=Diskonteringsverktyg!$D$16),Diskonteringsverktyg!$D$50*Diskonteringsverktyg!$D$14^(B100-Diskonteringsverktyg!$D$11),M99)</f>
        <v>2481.1008426959897</v>
      </c>
      <c r="N100" s="23">
        <f t="shared" si="8"/>
        <v>97.780338346171447</v>
      </c>
      <c r="O100" s="30"/>
    </row>
    <row r="101" spans="1:15" x14ac:dyDescent="0.2">
      <c r="A101" s="97">
        <v>95</v>
      </c>
      <c r="B101" s="88">
        <f>Diskonteringsverktyg!$D$12+A101</f>
        <v>2123</v>
      </c>
      <c r="C101" s="22">
        <f>1/(Diskonteringsverktyg!$D$9)^(B101-Diskonteringsverktyg!$D$10)</f>
        <v>3.807735470902833E-2</v>
      </c>
      <c r="D101" s="21">
        <f>IF(B101&lt;=Diskonteringsverktyg!$D$15,Diskonteringsverktyg!$D$21^(B101-Diskonteringsverktyg!$D$24),IF(AND(B101&gt;Diskonteringsverktyg!$D$15,B101&lt;=Diskonteringsverktyg!$D$16),Diskonteringsverktyg!$D$21^(Diskonteringsverktyg!$D$15-Diskonteringsverktyg!$D$24)*Diskonteringsverktyg!$D$22^(B101-Diskonteringsverktyg!$D$15),D100))</f>
        <v>1.4311229737306663</v>
      </c>
      <c r="E101" s="21">
        <f>IF(B101&lt;=Diskonteringsverktyg!$D$16,(Diskonteringsverktyg!$D$13)^(B101-Diskonteringsverktyg!$D$23),E100)</f>
        <v>1.6921186295957242</v>
      </c>
      <c r="F101" s="23">
        <f>IF(AND(Diskonteringsverktyg!$D$29="Ja",Diskonteringsverktyg!$D$30="Ja"),$D101*$E101*Diskonteringsverktyg!$D$27*Diskonteringsverktyg!$D$28,IF(AND(Diskonteringsverktyg!$D$29="Ja",Diskonteringsverktyg!$D$30="Nej"),$E101*Diskonteringsverktyg!$D$27*Diskonteringsverktyg!$D$28,IF(AND(Diskonteringsverktyg!$D$29="Nej",Diskonteringsverktyg!$D$30="Ja"),$D101*Diskonteringsverktyg!$D$27*Diskonteringsverktyg!$D$28,Diskonteringsverktyg!$D$27*Diskonteringsverktyg!$D$28)))</f>
        <v>12108.149225460464</v>
      </c>
      <c r="G101" s="23">
        <f>IF(AND(Diskonteringsverktyg!$D$33="Ja",Diskonteringsverktyg!$D$34="Ja"),$D101*$E101*Diskonteringsverktyg!$D$31*Diskonteringsverktyg!$D$32,IF(AND(Diskonteringsverktyg!$D$33="Ja",Diskonteringsverktyg!$D$34="Nej"),$E101*Diskonteringsverktyg!$D$31*Diskonteringsverktyg!$D$32,IF(AND(Diskonteringsverktyg!$D$33="Nej",Diskonteringsverktyg!$D$34="Ja"),$D101*Diskonteringsverktyg!$D$31*Diskonteringsverktyg!$D$32,Diskonteringsverktyg!$D$31*Diskonteringsverktyg!$D$32)))</f>
        <v>0</v>
      </c>
      <c r="H101" s="23">
        <f>IF(AND(Diskonteringsverktyg!$D$37="Ja",Diskonteringsverktyg!$D$38="Ja"),$D101*$E101*Diskonteringsverktyg!$D$35*Diskonteringsverktyg!$D$36,IF(AND(Diskonteringsverktyg!$D$37="Ja",Diskonteringsverktyg!$D$38="Nej"),$E101*Diskonteringsverktyg!$D$35*Diskonteringsverktyg!$D$36,IF(AND(Diskonteringsverktyg!$D$37="Nej",Diskonteringsverktyg!$D$38="Ja"),$D101*Diskonteringsverktyg!$D$35*Diskonteringsverktyg!$D$36,Diskonteringsverktyg!$D$35*Diskonteringsverktyg!$D$36)))</f>
        <v>0</v>
      </c>
      <c r="I101" s="23">
        <f>IF(AND(Diskonteringsverktyg!$D$41="Ja",Diskonteringsverktyg!$D$42="Ja"),$D101*$E101*Diskonteringsverktyg!$D$39*Diskonteringsverktyg!$D$40,IF(AND(Diskonteringsverktyg!$D$41="Ja",Diskonteringsverktyg!$D$42="Nej"),$E101*Diskonteringsverktyg!$D$39*Diskonteringsverktyg!$D$40,IF(AND(Diskonteringsverktyg!$D$41="Nej",Diskonteringsverktyg!$D$42="Ja"),$D101*Diskonteringsverktyg!$D$39*Diskonteringsverktyg!$D$40,Diskonteringsverktyg!$D$39*Diskonteringsverktyg!$D$40)))</f>
        <v>0</v>
      </c>
      <c r="J101" s="23">
        <f>IF(AND(Diskonteringsverktyg!$D$45="Ja",Diskonteringsverktyg!$D$46="Ja"),$D101*$E101*Diskonteringsverktyg!$D$43*Diskonteringsverktyg!$D$44,IF(AND(Diskonteringsverktyg!$D$45="Ja",Diskonteringsverktyg!$D$46="Nej"),$E101*Diskonteringsverktyg!$D$43*Diskonteringsverktyg!$D$44,IF(AND(Diskonteringsverktyg!$D$45="Nej",Diskonteringsverktyg!$D$46="Ja"),$D101*Diskonteringsverktyg!$D$43*Diskonteringsverktyg!$D$44,Diskonteringsverktyg!$D$43*Diskonteringsverktyg!$D$44)))</f>
        <v>0</v>
      </c>
      <c r="K101" s="23">
        <f t="shared" si="6"/>
        <v>12108.149225460464</v>
      </c>
      <c r="L101" s="23">
        <f t="shared" si="7"/>
        <v>461.04629292770471</v>
      </c>
      <c r="M101" s="23">
        <f>IF((B101&lt;=Diskonteringsverktyg!$D$16),Diskonteringsverktyg!$D$50*Diskonteringsverktyg!$D$14^(B101-Diskonteringsverktyg!$D$11),M100)</f>
        <v>2481.1008426959897</v>
      </c>
      <c r="N101" s="23">
        <f t="shared" si="8"/>
        <v>94.473756856204304</v>
      </c>
      <c r="O101" s="30"/>
    </row>
    <row r="102" spans="1:15" x14ac:dyDescent="0.2">
      <c r="A102" s="97">
        <v>96</v>
      </c>
      <c r="B102" s="88">
        <f>Diskonteringsverktyg!$D$12+A102</f>
        <v>2124</v>
      </c>
      <c r="C102" s="22">
        <f>1/(Diskonteringsverktyg!$D$9)^(B102-Diskonteringsverktyg!$D$10)</f>
        <v>3.6789714694713371E-2</v>
      </c>
      <c r="D102" s="21">
        <f>IF(B102&lt;=Diskonteringsverktyg!$D$15,Diskonteringsverktyg!$D$21^(B102-Diskonteringsverktyg!$D$24),IF(AND(B102&gt;Diskonteringsverktyg!$D$15,B102&lt;=Diskonteringsverktyg!$D$16),Diskonteringsverktyg!$D$21^(Diskonteringsverktyg!$D$15-Diskonteringsverktyg!$D$24)*Diskonteringsverktyg!$D$22^(B102-Diskonteringsverktyg!$D$15),D101))</f>
        <v>1.4311229737306663</v>
      </c>
      <c r="E102" s="21">
        <f>IF(B102&lt;=Diskonteringsverktyg!$D$16,(Diskonteringsverktyg!$D$13)^(B102-Diskonteringsverktyg!$D$23),E101)</f>
        <v>1.6921186295957242</v>
      </c>
      <c r="F102" s="23">
        <f>IF(AND(Diskonteringsverktyg!$D$29="Ja",Diskonteringsverktyg!$D$30="Ja"),$D102*$E102*Diskonteringsverktyg!$D$27*Diskonteringsverktyg!$D$28,IF(AND(Diskonteringsverktyg!$D$29="Ja",Diskonteringsverktyg!$D$30="Nej"),$E102*Diskonteringsverktyg!$D$27*Diskonteringsverktyg!$D$28,IF(AND(Diskonteringsverktyg!$D$29="Nej",Diskonteringsverktyg!$D$30="Ja"),$D102*Diskonteringsverktyg!$D$27*Diskonteringsverktyg!$D$28,Diskonteringsverktyg!$D$27*Diskonteringsverktyg!$D$28)))</f>
        <v>12108.149225460464</v>
      </c>
      <c r="G102" s="23">
        <f>IF(AND(Diskonteringsverktyg!$D$33="Ja",Diskonteringsverktyg!$D$34="Ja"),$D102*$E102*Diskonteringsverktyg!$D$31*Diskonteringsverktyg!$D$32,IF(AND(Diskonteringsverktyg!$D$33="Ja",Diskonteringsverktyg!$D$34="Nej"),$E102*Diskonteringsverktyg!$D$31*Diskonteringsverktyg!$D$32,IF(AND(Diskonteringsverktyg!$D$33="Nej",Diskonteringsverktyg!$D$34="Ja"),$D102*Diskonteringsverktyg!$D$31*Diskonteringsverktyg!$D$32,Diskonteringsverktyg!$D$31*Diskonteringsverktyg!$D$32)))</f>
        <v>0</v>
      </c>
      <c r="H102" s="23">
        <f>IF(AND(Diskonteringsverktyg!$D$37="Ja",Diskonteringsverktyg!$D$38="Ja"),$D102*$E102*Diskonteringsverktyg!$D$35*Diskonteringsverktyg!$D$36,IF(AND(Diskonteringsverktyg!$D$37="Ja",Diskonteringsverktyg!$D$38="Nej"),$E102*Diskonteringsverktyg!$D$35*Diskonteringsverktyg!$D$36,IF(AND(Diskonteringsverktyg!$D$37="Nej",Diskonteringsverktyg!$D$38="Ja"),$D102*Diskonteringsverktyg!$D$35*Diskonteringsverktyg!$D$36,Diskonteringsverktyg!$D$35*Diskonteringsverktyg!$D$36)))</f>
        <v>0</v>
      </c>
      <c r="I102" s="23">
        <f>IF(AND(Diskonteringsverktyg!$D$41="Ja",Diskonteringsverktyg!$D$42="Ja"),$D102*$E102*Diskonteringsverktyg!$D$39*Diskonteringsverktyg!$D$40,IF(AND(Diskonteringsverktyg!$D$41="Ja",Diskonteringsverktyg!$D$42="Nej"),$E102*Diskonteringsverktyg!$D$39*Diskonteringsverktyg!$D$40,IF(AND(Diskonteringsverktyg!$D$41="Nej",Diskonteringsverktyg!$D$42="Ja"),$D102*Diskonteringsverktyg!$D$39*Diskonteringsverktyg!$D$40,Diskonteringsverktyg!$D$39*Diskonteringsverktyg!$D$40)))</f>
        <v>0</v>
      </c>
      <c r="J102" s="23">
        <f>IF(AND(Diskonteringsverktyg!$D$45="Ja",Diskonteringsverktyg!$D$46="Ja"),$D102*$E102*Diskonteringsverktyg!$D$43*Diskonteringsverktyg!$D$44,IF(AND(Diskonteringsverktyg!$D$45="Ja",Diskonteringsverktyg!$D$46="Nej"),$E102*Diskonteringsverktyg!$D$43*Diskonteringsverktyg!$D$44,IF(AND(Diskonteringsverktyg!$D$45="Nej",Diskonteringsverktyg!$D$46="Ja"),$D102*Diskonteringsverktyg!$D$43*Diskonteringsverktyg!$D$44,Diskonteringsverktyg!$D$43*Diskonteringsverktyg!$D$44)))</f>
        <v>0</v>
      </c>
      <c r="K102" s="23">
        <f t="shared" si="6"/>
        <v>12108.149225460464</v>
      </c>
      <c r="L102" s="23">
        <f t="shared" si="7"/>
        <v>445.45535548570513</v>
      </c>
      <c r="M102" s="23">
        <f>IF((B102&lt;=Diskonteringsverktyg!$D$16),Diskonteringsverktyg!$D$50*Diskonteringsverktyg!$D$14^(B102-Diskonteringsverktyg!$D$11),M101)</f>
        <v>2481.1008426959897</v>
      </c>
      <c r="N102" s="23">
        <f t="shared" si="8"/>
        <v>91.278992131598386</v>
      </c>
      <c r="O102" s="30"/>
    </row>
    <row r="103" spans="1:15" x14ac:dyDescent="0.2">
      <c r="A103" s="97">
        <v>97</v>
      </c>
      <c r="B103" s="88">
        <f>Diskonteringsverktyg!$D$12+A103</f>
        <v>2125</v>
      </c>
      <c r="C103" s="22">
        <f>1/(Diskonteringsverktyg!$D$9)^(B103-Diskonteringsverktyg!$D$10)</f>
        <v>3.5545618062525E-2</v>
      </c>
      <c r="D103" s="21">
        <f>IF(B103&lt;=Diskonteringsverktyg!$D$15,Diskonteringsverktyg!$D$21^(B103-Diskonteringsverktyg!$D$24),IF(AND(B103&gt;Diskonteringsverktyg!$D$15,B103&lt;=Diskonteringsverktyg!$D$16),Diskonteringsverktyg!$D$21^(Diskonteringsverktyg!$D$15-Diskonteringsverktyg!$D$24)*Diskonteringsverktyg!$D$22^(B103-Diskonteringsverktyg!$D$15),D102))</f>
        <v>1.4311229737306663</v>
      </c>
      <c r="E103" s="21">
        <f>IF(B103&lt;=Diskonteringsverktyg!$D$16,(Diskonteringsverktyg!$D$13)^(B103-Diskonteringsverktyg!$D$23),E102)</f>
        <v>1.6921186295957242</v>
      </c>
      <c r="F103" s="23">
        <f>IF(AND(Diskonteringsverktyg!$D$29="Ja",Diskonteringsverktyg!$D$30="Ja"),$D103*$E103*Diskonteringsverktyg!$D$27*Diskonteringsverktyg!$D$28,IF(AND(Diskonteringsverktyg!$D$29="Ja",Diskonteringsverktyg!$D$30="Nej"),$E103*Diskonteringsverktyg!$D$27*Diskonteringsverktyg!$D$28,IF(AND(Diskonteringsverktyg!$D$29="Nej",Diskonteringsverktyg!$D$30="Ja"),$D103*Diskonteringsverktyg!$D$27*Diskonteringsverktyg!$D$28,Diskonteringsverktyg!$D$27*Diskonteringsverktyg!$D$28)))</f>
        <v>12108.149225460464</v>
      </c>
      <c r="G103" s="23">
        <f>IF(AND(Diskonteringsverktyg!$D$33="Ja",Diskonteringsverktyg!$D$34="Ja"),$D103*$E103*Diskonteringsverktyg!$D$31*Diskonteringsverktyg!$D$32,IF(AND(Diskonteringsverktyg!$D$33="Ja",Diskonteringsverktyg!$D$34="Nej"),$E103*Diskonteringsverktyg!$D$31*Diskonteringsverktyg!$D$32,IF(AND(Diskonteringsverktyg!$D$33="Nej",Diskonteringsverktyg!$D$34="Ja"),$D103*Diskonteringsverktyg!$D$31*Diskonteringsverktyg!$D$32,Diskonteringsverktyg!$D$31*Diskonteringsverktyg!$D$32)))</f>
        <v>0</v>
      </c>
      <c r="H103" s="23">
        <f>IF(AND(Diskonteringsverktyg!$D$37="Ja",Diskonteringsverktyg!$D$38="Ja"),$D103*$E103*Diskonteringsverktyg!$D$35*Diskonteringsverktyg!$D$36,IF(AND(Diskonteringsverktyg!$D$37="Ja",Diskonteringsverktyg!$D$38="Nej"),$E103*Diskonteringsverktyg!$D$35*Diskonteringsverktyg!$D$36,IF(AND(Diskonteringsverktyg!$D$37="Nej",Diskonteringsverktyg!$D$38="Ja"),$D103*Diskonteringsverktyg!$D$35*Diskonteringsverktyg!$D$36,Diskonteringsverktyg!$D$35*Diskonteringsverktyg!$D$36)))</f>
        <v>0</v>
      </c>
      <c r="I103" s="23">
        <f>IF(AND(Diskonteringsverktyg!$D$41="Ja",Diskonteringsverktyg!$D$42="Ja"),$D103*$E103*Diskonteringsverktyg!$D$39*Diskonteringsverktyg!$D$40,IF(AND(Diskonteringsverktyg!$D$41="Ja",Diskonteringsverktyg!$D$42="Nej"),$E103*Diskonteringsverktyg!$D$39*Diskonteringsverktyg!$D$40,IF(AND(Diskonteringsverktyg!$D$41="Nej",Diskonteringsverktyg!$D$42="Ja"),$D103*Diskonteringsverktyg!$D$39*Diskonteringsverktyg!$D$40,Diskonteringsverktyg!$D$39*Diskonteringsverktyg!$D$40)))</f>
        <v>0</v>
      </c>
      <c r="J103" s="23">
        <f>IF(AND(Diskonteringsverktyg!$D$45="Ja",Diskonteringsverktyg!$D$46="Ja"),$D103*$E103*Diskonteringsverktyg!$D$43*Diskonteringsverktyg!$D$44,IF(AND(Diskonteringsverktyg!$D$45="Ja",Diskonteringsverktyg!$D$46="Nej"),$E103*Diskonteringsverktyg!$D$43*Diskonteringsverktyg!$D$44,IF(AND(Diskonteringsverktyg!$D$45="Nej",Diskonteringsverktyg!$D$46="Ja"),$D103*Diskonteringsverktyg!$D$43*Diskonteringsverktyg!$D$44,Diskonteringsverktyg!$D$43*Diskonteringsverktyg!$D$44)))</f>
        <v>0</v>
      </c>
      <c r="K103" s="23">
        <f t="shared" si="6"/>
        <v>12108.149225460464</v>
      </c>
      <c r="L103" s="23">
        <f t="shared" si="7"/>
        <v>430.39164781227555</v>
      </c>
      <c r="M103" s="23">
        <f>IF((B103&lt;=Diskonteringsverktyg!$D$16),Diskonteringsverktyg!$D$50*Diskonteringsverktyg!$D$14^(B103-Diskonteringsverktyg!$D$11),M102)</f>
        <v>2481.1008426959897</v>
      </c>
      <c r="N103" s="23">
        <f t="shared" si="8"/>
        <v>88.19226292908057</v>
      </c>
      <c r="O103" s="30"/>
    </row>
    <row r="104" spans="1:15" x14ac:dyDescent="0.2">
      <c r="A104" s="97">
        <v>98</v>
      </c>
      <c r="B104" s="88">
        <f>Diskonteringsverktyg!$D$12+A104</f>
        <v>2126</v>
      </c>
      <c r="C104" s="22">
        <f>1/(Diskonteringsverktyg!$D$9)^(B104-Diskonteringsverktyg!$D$10)</f>
        <v>3.434359233094203E-2</v>
      </c>
      <c r="D104" s="21">
        <f>IF(B104&lt;=Diskonteringsverktyg!$D$15,Diskonteringsverktyg!$D$21^(B104-Diskonteringsverktyg!$D$24),IF(AND(B104&gt;Diskonteringsverktyg!$D$15,B104&lt;=Diskonteringsverktyg!$D$16),Diskonteringsverktyg!$D$21^(Diskonteringsverktyg!$D$15-Diskonteringsverktyg!$D$24)*Diskonteringsverktyg!$D$22^(B104-Diskonteringsverktyg!$D$15),D103))</f>
        <v>1.4311229737306663</v>
      </c>
      <c r="E104" s="21">
        <f>IF(B104&lt;=Diskonteringsverktyg!$D$16,(Diskonteringsverktyg!$D$13)^(B104-Diskonteringsverktyg!$D$23),E103)</f>
        <v>1.6921186295957242</v>
      </c>
      <c r="F104" s="23">
        <f>IF(AND(Diskonteringsverktyg!$D$29="Ja",Diskonteringsverktyg!$D$30="Ja"),$D104*$E104*Diskonteringsverktyg!$D$27*Diskonteringsverktyg!$D$28,IF(AND(Diskonteringsverktyg!$D$29="Ja",Diskonteringsverktyg!$D$30="Nej"),$E104*Diskonteringsverktyg!$D$27*Diskonteringsverktyg!$D$28,IF(AND(Diskonteringsverktyg!$D$29="Nej",Diskonteringsverktyg!$D$30="Ja"),$D104*Diskonteringsverktyg!$D$27*Diskonteringsverktyg!$D$28,Diskonteringsverktyg!$D$27*Diskonteringsverktyg!$D$28)))</f>
        <v>12108.149225460464</v>
      </c>
      <c r="G104" s="23">
        <f>IF(AND(Diskonteringsverktyg!$D$33="Ja",Diskonteringsverktyg!$D$34="Ja"),$D104*$E104*Diskonteringsverktyg!$D$31*Diskonteringsverktyg!$D$32,IF(AND(Diskonteringsverktyg!$D$33="Ja",Diskonteringsverktyg!$D$34="Nej"),$E104*Diskonteringsverktyg!$D$31*Diskonteringsverktyg!$D$32,IF(AND(Diskonteringsverktyg!$D$33="Nej",Diskonteringsverktyg!$D$34="Ja"),$D104*Diskonteringsverktyg!$D$31*Diskonteringsverktyg!$D$32,Diskonteringsverktyg!$D$31*Diskonteringsverktyg!$D$32)))</f>
        <v>0</v>
      </c>
      <c r="H104" s="23">
        <f>IF(AND(Diskonteringsverktyg!$D$37="Ja",Diskonteringsverktyg!$D$38="Ja"),$D104*$E104*Diskonteringsverktyg!$D$35*Diskonteringsverktyg!$D$36,IF(AND(Diskonteringsverktyg!$D$37="Ja",Diskonteringsverktyg!$D$38="Nej"),$E104*Diskonteringsverktyg!$D$35*Diskonteringsverktyg!$D$36,IF(AND(Diskonteringsverktyg!$D$37="Nej",Diskonteringsverktyg!$D$38="Ja"),$D104*Diskonteringsverktyg!$D$35*Diskonteringsverktyg!$D$36,Diskonteringsverktyg!$D$35*Diskonteringsverktyg!$D$36)))</f>
        <v>0</v>
      </c>
      <c r="I104" s="23">
        <f>IF(AND(Diskonteringsverktyg!$D$41="Ja",Diskonteringsverktyg!$D$42="Ja"),$D104*$E104*Diskonteringsverktyg!$D$39*Diskonteringsverktyg!$D$40,IF(AND(Diskonteringsverktyg!$D$41="Ja",Diskonteringsverktyg!$D$42="Nej"),$E104*Diskonteringsverktyg!$D$39*Diskonteringsverktyg!$D$40,IF(AND(Diskonteringsverktyg!$D$41="Nej",Diskonteringsverktyg!$D$42="Ja"),$D104*Diskonteringsverktyg!$D$39*Diskonteringsverktyg!$D$40,Diskonteringsverktyg!$D$39*Diskonteringsverktyg!$D$40)))</f>
        <v>0</v>
      </c>
      <c r="J104" s="23">
        <f>IF(AND(Diskonteringsverktyg!$D$45="Ja",Diskonteringsverktyg!$D$46="Ja"),$D104*$E104*Diskonteringsverktyg!$D$43*Diskonteringsverktyg!$D$44,IF(AND(Diskonteringsverktyg!$D$45="Ja",Diskonteringsverktyg!$D$46="Nej"),$E104*Diskonteringsverktyg!$D$43*Diskonteringsverktyg!$D$44,IF(AND(Diskonteringsverktyg!$D$45="Nej",Diskonteringsverktyg!$D$46="Ja"),$D104*Diskonteringsverktyg!$D$43*Diskonteringsverktyg!$D$44,Diskonteringsverktyg!$D$43*Diskonteringsverktyg!$D$44)))</f>
        <v>0</v>
      </c>
      <c r="K104" s="23">
        <f t="shared" si="6"/>
        <v>12108.149225460464</v>
      </c>
      <c r="L104" s="23">
        <f t="shared" si="7"/>
        <v>415.83734088142563</v>
      </c>
      <c r="M104" s="23">
        <f>IF((B104&lt;=Diskonteringsverktyg!$D$16),Diskonteringsverktyg!$D$50*Diskonteringsverktyg!$D$14^(B104-Diskonteringsverktyg!$D$11),M103)</f>
        <v>2481.1008426959897</v>
      </c>
      <c r="N104" s="23">
        <f t="shared" si="8"/>
        <v>85.209915873507796</v>
      </c>
      <c r="O104" s="30"/>
    </row>
    <row r="105" spans="1:15" x14ac:dyDescent="0.2">
      <c r="A105" s="97">
        <v>99</v>
      </c>
      <c r="B105" s="88">
        <f>Diskonteringsverktyg!$D$12+A105</f>
        <v>2127</v>
      </c>
      <c r="C105" s="22">
        <f>1/(Diskonteringsverktyg!$D$9)^(B105-Diskonteringsverktyg!$D$10)</f>
        <v>3.3182214812504378E-2</v>
      </c>
      <c r="D105" s="21">
        <f>IF(B105&lt;=Diskonteringsverktyg!$D$15,Diskonteringsverktyg!$D$21^(B105-Diskonteringsverktyg!$D$24),IF(AND(B105&gt;Diskonteringsverktyg!$D$15,B105&lt;=Diskonteringsverktyg!$D$16),Diskonteringsverktyg!$D$21^(Diskonteringsverktyg!$D$15-Diskonteringsverktyg!$D$24)*Diskonteringsverktyg!$D$22^(B105-Diskonteringsverktyg!$D$15),D104))</f>
        <v>1.4311229737306663</v>
      </c>
      <c r="E105" s="21">
        <f>IF(B105&lt;=Diskonteringsverktyg!$D$16,(Diskonteringsverktyg!$D$13)^(B105-Diskonteringsverktyg!$D$23),E104)</f>
        <v>1.6921186295957242</v>
      </c>
      <c r="F105" s="23">
        <f>IF(AND(Diskonteringsverktyg!$D$29="Ja",Diskonteringsverktyg!$D$30="Ja"),$D105*$E105*Diskonteringsverktyg!$D$27*Diskonteringsverktyg!$D$28,IF(AND(Diskonteringsverktyg!$D$29="Ja",Diskonteringsverktyg!$D$30="Nej"),$E105*Diskonteringsverktyg!$D$27*Diskonteringsverktyg!$D$28,IF(AND(Diskonteringsverktyg!$D$29="Nej",Diskonteringsverktyg!$D$30="Ja"),$D105*Diskonteringsverktyg!$D$27*Diskonteringsverktyg!$D$28,Diskonteringsverktyg!$D$27*Diskonteringsverktyg!$D$28)))</f>
        <v>12108.149225460464</v>
      </c>
      <c r="G105" s="23">
        <f>IF(AND(Diskonteringsverktyg!$D$33="Ja",Diskonteringsverktyg!$D$34="Ja"),$D105*$E105*Diskonteringsverktyg!$D$31*Diskonteringsverktyg!$D$32,IF(AND(Diskonteringsverktyg!$D$33="Ja",Diskonteringsverktyg!$D$34="Nej"),$E105*Diskonteringsverktyg!$D$31*Diskonteringsverktyg!$D$32,IF(AND(Diskonteringsverktyg!$D$33="Nej",Diskonteringsverktyg!$D$34="Ja"),$D105*Diskonteringsverktyg!$D$31*Diskonteringsverktyg!$D$32,Diskonteringsverktyg!$D$31*Diskonteringsverktyg!$D$32)))</f>
        <v>0</v>
      </c>
      <c r="H105" s="23">
        <f>IF(AND(Diskonteringsverktyg!$D$37="Ja",Diskonteringsverktyg!$D$38="Ja"),$D105*$E105*Diskonteringsverktyg!$D$35*Diskonteringsverktyg!$D$36,IF(AND(Diskonteringsverktyg!$D$37="Ja",Diskonteringsverktyg!$D$38="Nej"),$E105*Diskonteringsverktyg!$D$35*Diskonteringsverktyg!$D$36,IF(AND(Diskonteringsverktyg!$D$37="Nej",Diskonteringsverktyg!$D$38="Ja"),$D105*Diskonteringsverktyg!$D$35*Diskonteringsverktyg!$D$36,Diskonteringsverktyg!$D$35*Diskonteringsverktyg!$D$36)))</f>
        <v>0</v>
      </c>
      <c r="I105" s="23">
        <f>IF(AND(Diskonteringsverktyg!$D$41="Ja",Diskonteringsverktyg!$D$42="Ja"),$D105*$E105*Diskonteringsverktyg!$D$39*Diskonteringsverktyg!$D$40,IF(AND(Diskonteringsverktyg!$D$41="Ja",Diskonteringsverktyg!$D$42="Nej"),$E105*Diskonteringsverktyg!$D$39*Diskonteringsverktyg!$D$40,IF(AND(Diskonteringsverktyg!$D$41="Nej",Diskonteringsverktyg!$D$42="Ja"),$D105*Diskonteringsverktyg!$D$39*Diskonteringsverktyg!$D$40,Diskonteringsverktyg!$D$39*Diskonteringsverktyg!$D$40)))</f>
        <v>0</v>
      </c>
      <c r="J105" s="23">
        <f>IF(AND(Diskonteringsverktyg!$D$45="Ja",Diskonteringsverktyg!$D$46="Ja"),$D105*$E105*Diskonteringsverktyg!$D$43*Diskonteringsverktyg!$D$44,IF(AND(Diskonteringsverktyg!$D$45="Ja",Diskonteringsverktyg!$D$46="Nej"),$E105*Diskonteringsverktyg!$D$43*Diskonteringsverktyg!$D$44,IF(AND(Diskonteringsverktyg!$D$45="Nej",Diskonteringsverktyg!$D$46="Ja"),$D105*Diskonteringsverktyg!$D$43*Diskonteringsverktyg!$D$44,Diskonteringsverktyg!$D$43*Diskonteringsverktyg!$D$44)))</f>
        <v>0</v>
      </c>
      <c r="K105" s="23">
        <f t="shared" si="6"/>
        <v>12108.149225460464</v>
      </c>
      <c r="L105" s="23">
        <f t="shared" si="7"/>
        <v>401.77520858108761</v>
      </c>
      <c r="M105" s="23">
        <f>IF((B105&lt;=Diskonteringsverktyg!$D$16),Diskonteringsverktyg!$D$50*Diskonteringsverktyg!$D$14^(B105-Diskonteringsverktyg!$D$11),M104)</f>
        <v>2481.1008426959897</v>
      </c>
      <c r="N105" s="23">
        <f t="shared" si="8"/>
        <v>82.328421133823966</v>
      </c>
      <c r="O105" s="30"/>
    </row>
    <row r="106" spans="1:15" x14ac:dyDescent="0.2">
      <c r="A106" s="97">
        <v>100</v>
      </c>
      <c r="B106" s="88">
        <f>Diskonteringsverktyg!$D$12+A106</f>
        <v>2128</v>
      </c>
      <c r="C106" s="22">
        <f>1/(Diskonteringsverktyg!$D$9)^(B106-Diskonteringsverktyg!$D$10)</f>
        <v>3.2060110929955921E-2</v>
      </c>
      <c r="D106" s="21">
        <f>IF(B106&lt;=Diskonteringsverktyg!$D$15,Diskonteringsverktyg!$D$21^(B106-Diskonteringsverktyg!$D$24),IF(AND(B106&gt;Diskonteringsverktyg!$D$15,B106&lt;=Diskonteringsverktyg!$D$16),Diskonteringsverktyg!$D$21^(Diskonteringsverktyg!$D$15-Diskonteringsverktyg!$D$24)*Diskonteringsverktyg!$D$22^(B106-Diskonteringsverktyg!$D$15),D105))</f>
        <v>1.4311229737306663</v>
      </c>
      <c r="E106" s="21">
        <f>IF(B106&lt;=Diskonteringsverktyg!$D$16,(Diskonteringsverktyg!$D$13)^(B106-Diskonteringsverktyg!$D$23),E105)</f>
        <v>1.6921186295957242</v>
      </c>
      <c r="F106" s="23">
        <f>IF(AND(Diskonteringsverktyg!$D$29="Ja",Diskonteringsverktyg!$D$30="Ja"),$D106*$E106*Diskonteringsverktyg!$D$27*Diskonteringsverktyg!$D$28,IF(AND(Diskonteringsverktyg!$D$29="Ja",Diskonteringsverktyg!$D$30="Nej"),$E106*Diskonteringsverktyg!$D$27*Diskonteringsverktyg!$D$28,IF(AND(Diskonteringsverktyg!$D$29="Nej",Diskonteringsverktyg!$D$30="Ja"),$D106*Diskonteringsverktyg!$D$27*Diskonteringsverktyg!$D$28,Diskonteringsverktyg!$D$27*Diskonteringsverktyg!$D$28)))</f>
        <v>12108.149225460464</v>
      </c>
      <c r="G106" s="23">
        <f>IF(AND(Diskonteringsverktyg!$D$33="Ja",Diskonteringsverktyg!$D$34="Ja"),$D106*$E106*Diskonteringsverktyg!$D$31*Diskonteringsverktyg!$D$32,IF(AND(Diskonteringsverktyg!$D$33="Ja",Diskonteringsverktyg!$D$34="Nej"),$E106*Diskonteringsverktyg!$D$31*Diskonteringsverktyg!$D$32,IF(AND(Diskonteringsverktyg!$D$33="Nej",Diskonteringsverktyg!$D$34="Ja"),$D106*Diskonteringsverktyg!$D$31*Diskonteringsverktyg!$D$32,Diskonteringsverktyg!$D$31*Diskonteringsverktyg!$D$32)))</f>
        <v>0</v>
      </c>
      <c r="H106" s="23">
        <f>IF(AND(Diskonteringsverktyg!$D$37="Ja",Diskonteringsverktyg!$D$38="Ja"),$D106*$E106*Diskonteringsverktyg!$D$35*Diskonteringsverktyg!$D$36,IF(AND(Diskonteringsverktyg!$D$37="Ja",Diskonteringsverktyg!$D$38="Nej"),$E106*Diskonteringsverktyg!$D$35*Diskonteringsverktyg!$D$36,IF(AND(Diskonteringsverktyg!$D$37="Nej",Diskonteringsverktyg!$D$38="Ja"),$D106*Diskonteringsverktyg!$D$35*Diskonteringsverktyg!$D$36,Diskonteringsverktyg!$D$35*Diskonteringsverktyg!$D$36)))</f>
        <v>0</v>
      </c>
      <c r="I106" s="23">
        <f>IF(AND(Diskonteringsverktyg!$D$41="Ja",Diskonteringsverktyg!$D$42="Ja"),$D106*$E106*Diskonteringsverktyg!$D$39*Diskonteringsverktyg!$D$40,IF(AND(Diskonteringsverktyg!$D$41="Ja",Diskonteringsverktyg!$D$42="Nej"),$E106*Diskonteringsverktyg!$D$39*Diskonteringsverktyg!$D$40,IF(AND(Diskonteringsverktyg!$D$41="Nej",Diskonteringsverktyg!$D$42="Ja"),$D106*Diskonteringsverktyg!$D$39*Diskonteringsverktyg!$D$40,Diskonteringsverktyg!$D$39*Diskonteringsverktyg!$D$40)))</f>
        <v>0</v>
      </c>
      <c r="J106" s="23">
        <f>IF(AND(Diskonteringsverktyg!$D$45="Ja",Diskonteringsverktyg!$D$46="Ja"),$D106*$E106*Diskonteringsverktyg!$D$43*Diskonteringsverktyg!$D$44,IF(AND(Diskonteringsverktyg!$D$45="Ja",Diskonteringsverktyg!$D$46="Nej"),$E106*Diskonteringsverktyg!$D$43*Diskonteringsverktyg!$D$44,IF(AND(Diskonteringsverktyg!$D$45="Nej",Diskonteringsverktyg!$D$46="Ja"),$D106*Diskonteringsverktyg!$D$43*Diskonteringsverktyg!$D$44,Diskonteringsverktyg!$D$43*Diskonteringsverktyg!$D$44)))</f>
        <v>0</v>
      </c>
      <c r="K106" s="23">
        <f t="shared" si="6"/>
        <v>12108.149225460464</v>
      </c>
      <c r="L106" s="23">
        <f t="shared" si="7"/>
        <v>388.18860732472234</v>
      </c>
      <c r="M106" s="23">
        <f>IF((B106&lt;=Diskonteringsverktyg!$D$16),Diskonteringsverktyg!$D$50*Diskonteringsverktyg!$D$14^(B106-Diskonteringsverktyg!$D$11),M105)</f>
        <v>2481.1008426959897</v>
      </c>
      <c r="N106" s="23">
        <f t="shared" si="8"/>
        <v>79.544368245240548</v>
      </c>
      <c r="O106" s="30"/>
    </row>
    <row r="107" spans="1:15" x14ac:dyDescent="0.2">
      <c r="A107" s="97">
        <v>101</v>
      </c>
      <c r="B107" s="88">
        <f>Diskonteringsverktyg!$D$12+A107</f>
        <v>2129</v>
      </c>
      <c r="C107" s="22">
        <f>1/(Diskonteringsverktyg!$D$9)^(B107-Diskonteringsverktyg!$D$10)</f>
        <v>3.0975952589329399E-2</v>
      </c>
      <c r="D107" s="21">
        <f>IF(B107&lt;=Diskonteringsverktyg!$D$15,Diskonteringsverktyg!$D$21^(B107-Diskonteringsverktyg!$D$24),IF(AND(B107&gt;Diskonteringsverktyg!$D$15,B107&lt;=Diskonteringsverktyg!$D$16),Diskonteringsverktyg!$D$21^(Diskonteringsverktyg!$D$15-Diskonteringsverktyg!$D$24)*Diskonteringsverktyg!$D$22^(B107-Diskonteringsverktyg!$D$15),D106))</f>
        <v>1.4311229737306663</v>
      </c>
      <c r="E107" s="21">
        <f>IF(B107&lt;=Diskonteringsverktyg!$D$16,(Diskonteringsverktyg!$D$13)^(B107-Diskonteringsverktyg!$D$23),E106)</f>
        <v>1.6921186295957242</v>
      </c>
      <c r="F107" s="23">
        <f>IF(AND(Diskonteringsverktyg!$D$29="Ja",Diskonteringsverktyg!$D$30="Ja"),$D107*$E107*Diskonteringsverktyg!$D$27*Diskonteringsverktyg!$D$28,IF(AND(Diskonteringsverktyg!$D$29="Ja",Diskonteringsverktyg!$D$30="Nej"),$E107*Diskonteringsverktyg!$D$27*Diskonteringsverktyg!$D$28,IF(AND(Diskonteringsverktyg!$D$29="Nej",Diskonteringsverktyg!$D$30="Ja"),$D107*Diskonteringsverktyg!$D$27*Diskonteringsverktyg!$D$28,Diskonteringsverktyg!$D$27*Diskonteringsverktyg!$D$28)))</f>
        <v>12108.149225460464</v>
      </c>
      <c r="G107" s="23">
        <f>IF(AND(Diskonteringsverktyg!$D$33="Ja",Diskonteringsverktyg!$D$34="Ja"),$D107*$E107*Diskonteringsverktyg!$D$31*Diskonteringsverktyg!$D$32,IF(AND(Diskonteringsverktyg!$D$33="Ja",Diskonteringsverktyg!$D$34="Nej"),$E107*Diskonteringsverktyg!$D$31*Diskonteringsverktyg!$D$32,IF(AND(Diskonteringsverktyg!$D$33="Nej",Diskonteringsverktyg!$D$34="Ja"),$D107*Diskonteringsverktyg!$D$31*Diskonteringsverktyg!$D$32,Diskonteringsverktyg!$D$31*Diskonteringsverktyg!$D$32)))</f>
        <v>0</v>
      </c>
      <c r="H107" s="23">
        <f>IF(AND(Diskonteringsverktyg!$D$37="Ja",Diskonteringsverktyg!$D$38="Ja"),$D107*$E107*Diskonteringsverktyg!$D$35*Diskonteringsverktyg!$D$36,IF(AND(Diskonteringsverktyg!$D$37="Ja",Diskonteringsverktyg!$D$38="Nej"),$E107*Diskonteringsverktyg!$D$35*Diskonteringsverktyg!$D$36,IF(AND(Diskonteringsverktyg!$D$37="Nej",Diskonteringsverktyg!$D$38="Ja"),$D107*Diskonteringsverktyg!$D$35*Diskonteringsverktyg!$D$36,Diskonteringsverktyg!$D$35*Diskonteringsverktyg!$D$36)))</f>
        <v>0</v>
      </c>
      <c r="I107" s="23">
        <f>IF(AND(Diskonteringsverktyg!$D$41="Ja",Diskonteringsverktyg!$D$42="Ja"),$D107*$E107*Diskonteringsverktyg!$D$39*Diskonteringsverktyg!$D$40,IF(AND(Diskonteringsverktyg!$D$41="Ja",Diskonteringsverktyg!$D$42="Nej"),$E107*Diskonteringsverktyg!$D$39*Diskonteringsverktyg!$D$40,IF(AND(Diskonteringsverktyg!$D$41="Nej",Diskonteringsverktyg!$D$42="Ja"),$D107*Diskonteringsverktyg!$D$39*Diskonteringsverktyg!$D$40,Diskonteringsverktyg!$D$39*Diskonteringsverktyg!$D$40)))</f>
        <v>0</v>
      </c>
      <c r="J107" s="23">
        <f>IF(AND(Diskonteringsverktyg!$D$45="Ja",Diskonteringsverktyg!$D$46="Ja"),$D107*$E107*Diskonteringsverktyg!$D$43*Diskonteringsverktyg!$D$44,IF(AND(Diskonteringsverktyg!$D$45="Ja",Diskonteringsverktyg!$D$46="Nej"),$E107*Diskonteringsverktyg!$D$43*Diskonteringsverktyg!$D$44,IF(AND(Diskonteringsverktyg!$D$45="Nej",Diskonteringsverktyg!$D$46="Ja"),$D107*Diskonteringsverktyg!$D$43*Diskonteringsverktyg!$D$44,Diskonteringsverktyg!$D$43*Diskonteringsverktyg!$D$44)))</f>
        <v>0</v>
      </c>
      <c r="K107" s="23">
        <f t="shared" si="6"/>
        <v>12108.149225460464</v>
      </c>
      <c r="L107" s="23">
        <f t="shared" si="7"/>
        <v>375.0614563523888</v>
      </c>
      <c r="M107" s="23">
        <f>IF((B107&lt;=Diskonteringsverktyg!$D$16),Diskonteringsverktyg!$D$50*Diskonteringsverktyg!$D$14^(B107-Diskonteringsverktyg!$D$11),M106)</f>
        <v>2481.1008426959897</v>
      </c>
      <c r="N107" s="23">
        <f t="shared" si="8"/>
        <v>76.854462072696194</v>
      </c>
      <c r="O107" s="30"/>
    </row>
    <row r="108" spans="1:15" x14ac:dyDescent="0.2">
      <c r="A108" s="97">
        <v>102</v>
      </c>
      <c r="B108" s="88">
        <f>Diskonteringsverktyg!$D$12+A108</f>
        <v>2130</v>
      </c>
      <c r="C108" s="22">
        <f>1/(Diskonteringsverktyg!$D$9)^(B108-Diskonteringsverktyg!$D$10)</f>
        <v>2.9928456608047722E-2</v>
      </c>
      <c r="D108" s="21">
        <f>IF(B108&lt;=Diskonteringsverktyg!$D$15,Diskonteringsverktyg!$D$21^(B108-Diskonteringsverktyg!$D$24),IF(AND(B108&gt;Diskonteringsverktyg!$D$15,B108&lt;=Diskonteringsverktyg!$D$16),Diskonteringsverktyg!$D$21^(Diskonteringsverktyg!$D$15-Diskonteringsverktyg!$D$24)*Diskonteringsverktyg!$D$22^(B108-Diskonteringsverktyg!$D$15),D107))</f>
        <v>1.4311229737306663</v>
      </c>
      <c r="E108" s="21">
        <f>IF(B108&lt;=Diskonteringsverktyg!$D$16,(Diskonteringsverktyg!$D$13)^(B108-Diskonteringsverktyg!$D$23),E107)</f>
        <v>1.6921186295957242</v>
      </c>
      <c r="F108" s="23">
        <f>IF(AND(Diskonteringsverktyg!$D$29="Ja",Diskonteringsverktyg!$D$30="Ja"),$D108*$E108*Diskonteringsverktyg!$D$27*Diskonteringsverktyg!$D$28,IF(AND(Diskonteringsverktyg!$D$29="Ja",Diskonteringsverktyg!$D$30="Nej"),$E108*Diskonteringsverktyg!$D$27*Diskonteringsverktyg!$D$28,IF(AND(Diskonteringsverktyg!$D$29="Nej",Diskonteringsverktyg!$D$30="Ja"),$D108*Diskonteringsverktyg!$D$27*Diskonteringsverktyg!$D$28,Diskonteringsverktyg!$D$27*Diskonteringsverktyg!$D$28)))</f>
        <v>12108.149225460464</v>
      </c>
      <c r="G108" s="23">
        <f>IF(AND(Diskonteringsverktyg!$D$33="Ja",Diskonteringsverktyg!$D$34="Ja"),$D108*$E108*Diskonteringsverktyg!$D$31*Diskonteringsverktyg!$D$32,IF(AND(Diskonteringsverktyg!$D$33="Ja",Diskonteringsverktyg!$D$34="Nej"),$E108*Diskonteringsverktyg!$D$31*Diskonteringsverktyg!$D$32,IF(AND(Diskonteringsverktyg!$D$33="Nej",Diskonteringsverktyg!$D$34="Ja"),$D108*Diskonteringsverktyg!$D$31*Diskonteringsverktyg!$D$32,Diskonteringsverktyg!$D$31*Diskonteringsverktyg!$D$32)))</f>
        <v>0</v>
      </c>
      <c r="H108" s="23">
        <f>IF(AND(Diskonteringsverktyg!$D$37="Ja",Diskonteringsverktyg!$D$38="Ja"),$D108*$E108*Diskonteringsverktyg!$D$35*Diskonteringsverktyg!$D$36,IF(AND(Diskonteringsverktyg!$D$37="Ja",Diskonteringsverktyg!$D$38="Nej"),$E108*Diskonteringsverktyg!$D$35*Diskonteringsverktyg!$D$36,IF(AND(Diskonteringsverktyg!$D$37="Nej",Diskonteringsverktyg!$D$38="Ja"),$D108*Diskonteringsverktyg!$D$35*Diskonteringsverktyg!$D$36,Diskonteringsverktyg!$D$35*Diskonteringsverktyg!$D$36)))</f>
        <v>0</v>
      </c>
      <c r="I108" s="23">
        <f>IF(AND(Diskonteringsverktyg!$D$41="Ja",Diskonteringsverktyg!$D$42="Ja"),$D108*$E108*Diskonteringsverktyg!$D$39*Diskonteringsverktyg!$D$40,IF(AND(Diskonteringsverktyg!$D$41="Ja",Diskonteringsverktyg!$D$42="Nej"),$E108*Diskonteringsverktyg!$D$39*Diskonteringsverktyg!$D$40,IF(AND(Diskonteringsverktyg!$D$41="Nej",Diskonteringsverktyg!$D$42="Ja"),$D108*Diskonteringsverktyg!$D$39*Diskonteringsverktyg!$D$40,Diskonteringsverktyg!$D$39*Diskonteringsverktyg!$D$40)))</f>
        <v>0</v>
      </c>
      <c r="J108" s="23">
        <f>IF(AND(Diskonteringsverktyg!$D$45="Ja",Diskonteringsverktyg!$D$46="Ja"),$D108*$E108*Diskonteringsverktyg!$D$43*Diskonteringsverktyg!$D$44,IF(AND(Diskonteringsverktyg!$D$45="Ja",Diskonteringsverktyg!$D$46="Nej"),$E108*Diskonteringsverktyg!$D$43*Diskonteringsverktyg!$D$44,IF(AND(Diskonteringsverktyg!$D$45="Nej",Diskonteringsverktyg!$D$46="Ja"),$D108*Diskonteringsverktyg!$D$43*Diskonteringsverktyg!$D$44,Diskonteringsverktyg!$D$43*Diskonteringsverktyg!$D$44)))</f>
        <v>0</v>
      </c>
      <c r="K108" s="23">
        <f t="shared" si="6"/>
        <v>12108.149225460464</v>
      </c>
      <c r="L108" s="23">
        <f t="shared" si="7"/>
        <v>362.37821869796011</v>
      </c>
      <c r="M108" s="23">
        <f>IF((B108&lt;=Diskonteringsverktyg!$D$16),Diskonteringsverktyg!$D$50*Diskonteringsverktyg!$D$14^(B108-Diskonteringsverktyg!$D$11),M107)</f>
        <v>2481.1008426959897</v>
      </c>
      <c r="N108" s="23">
        <f t="shared" si="8"/>
        <v>74.255518910817571</v>
      </c>
      <c r="O108" s="30"/>
    </row>
    <row r="109" spans="1:15" x14ac:dyDescent="0.2">
      <c r="A109" s="97">
        <v>103</v>
      </c>
      <c r="B109" s="88">
        <f>Diskonteringsverktyg!$D$12+A109</f>
        <v>2131</v>
      </c>
      <c r="C109" s="22">
        <f>1/(Diskonteringsverktyg!$D$9)^(B109-Diskonteringsverktyg!$D$10)</f>
        <v>2.8916383196181381E-2</v>
      </c>
      <c r="D109" s="21">
        <f>IF(B109&lt;=Diskonteringsverktyg!$D$15,Diskonteringsverktyg!$D$21^(B109-Diskonteringsverktyg!$D$24),IF(AND(B109&gt;Diskonteringsverktyg!$D$15,B109&lt;=Diskonteringsverktyg!$D$16),Diskonteringsverktyg!$D$21^(Diskonteringsverktyg!$D$15-Diskonteringsverktyg!$D$24)*Diskonteringsverktyg!$D$22^(B109-Diskonteringsverktyg!$D$15),D108))</f>
        <v>1.4311229737306663</v>
      </c>
      <c r="E109" s="21">
        <f>IF(B109&lt;=Diskonteringsverktyg!$D$16,(Diskonteringsverktyg!$D$13)^(B109-Diskonteringsverktyg!$D$23),E108)</f>
        <v>1.6921186295957242</v>
      </c>
      <c r="F109" s="23">
        <f>IF(AND(Diskonteringsverktyg!$D$29="Ja",Diskonteringsverktyg!$D$30="Ja"),$D109*$E109*Diskonteringsverktyg!$D$27*Diskonteringsverktyg!$D$28,IF(AND(Diskonteringsverktyg!$D$29="Ja",Diskonteringsverktyg!$D$30="Nej"),$E109*Diskonteringsverktyg!$D$27*Diskonteringsverktyg!$D$28,IF(AND(Diskonteringsverktyg!$D$29="Nej",Diskonteringsverktyg!$D$30="Ja"),$D109*Diskonteringsverktyg!$D$27*Diskonteringsverktyg!$D$28,Diskonteringsverktyg!$D$27*Diskonteringsverktyg!$D$28)))</f>
        <v>12108.149225460464</v>
      </c>
      <c r="G109" s="23">
        <f>IF(AND(Diskonteringsverktyg!$D$33="Ja",Diskonteringsverktyg!$D$34="Ja"),$D109*$E109*Diskonteringsverktyg!$D$31*Diskonteringsverktyg!$D$32,IF(AND(Diskonteringsverktyg!$D$33="Ja",Diskonteringsverktyg!$D$34="Nej"),$E109*Diskonteringsverktyg!$D$31*Diskonteringsverktyg!$D$32,IF(AND(Diskonteringsverktyg!$D$33="Nej",Diskonteringsverktyg!$D$34="Ja"),$D109*Diskonteringsverktyg!$D$31*Diskonteringsverktyg!$D$32,Diskonteringsverktyg!$D$31*Diskonteringsverktyg!$D$32)))</f>
        <v>0</v>
      </c>
      <c r="H109" s="23">
        <f>IF(AND(Diskonteringsverktyg!$D$37="Ja",Diskonteringsverktyg!$D$38="Ja"),$D109*$E109*Diskonteringsverktyg!$D$35*Diskonteringsverktyg!$D$36,IF(AND(Diskonteringsverktyg!$D$37="Ja",Diskonteringsverktyg!$D$38="Nej"),$E109*Diskonteringsverktyg!$D$35*Diskonteringsverktyg!$D$36,IF(AND(Diskonteringsverktyg!$D$37="Nej",Diskonteringsverktyg!$D$38="Ja"),$D109*Diskonteringsverktyg!$D$35*Diskonteringsverktyg!$D$36,Diskonteringsverktyg!$D$35*Diskonteringsverktyg!$D$36)))</f>
        <v>0</v>
      </c>
      <c r="I109" s="23">
        <f>IF(AND(Diskonteringsverktyg!$D$41="Ja",Diskonteringsverktyg!$D$42="Ja"),$D109*$E109*Diskonteringsverktyg!$D$39*Diskonteringsverktyg!$D$40,IF(AND(Diskonteringsverktyg!$D$41="Ja",Diskonteringsverktyg!$D$42="Nej"),$E109*Diskonteringsverktyg!$D$39*Diskonteringsverktyg!$D$40,IF(AND(Diskonteringsverktyg!$D$41="Nej",Diskonteringsverktyg!$D$42="Ja"),$D109*Diskonteringsverktyg!$D$39*Diskonteringsverktyg!$D$40,Diskonteringsverktyg!$D$39*Diskonteringsverktyg!$D$40)))</f>
        <v>0</v>
      </c>
      <c r="J109" s="23">
        <f>IF(AND(Diskonteringsverktyg!$D$45="Ja",Diskonteringsverktyg!$D$46="Ja"),$D109*$E109*Diskonteringsverktyg!$D$43*Diskonteringsverktyg!$D$44,IF(AND(Diskonteringsverktyg!$D$45="Ja",Diskonteringsverktyg!$D$46="Nej"),$E109*Diskonteringsverktyg!$D$43*Diskonteringsverktyg!$D$44,IF(AND(Diskonteringsverktyg!$D$45="Nej",Diskonteringsverktyg!$D$46="Ja"),$D109*Diskonteringsverktyg!$D$43*Diskonteringsverktyg!$D$44,Diskonteringsverktyg!$D$43*Diskonteringsverktyg!$D$44)))</f>
        <v>0</v>
      </c>
      <c r="K109" s="23">
        <f t="shared" si="6"/>
        <v>12108.149225460464</v>
      </c>
      <c r="L109" s="23">
        <f t="shared" si="7"/>
        <v>350.12388279996156</v>
      </c>
      <c r="M109" s="23">
        <f>IF((B109&lt;=Diskonteringsverktyg!$D$16),Diskonteringsverktyg!$D$50*Diskonteringsverktyg!$D$14^(B109-Diskonteringsverktyg!$D$11),M108)</f>
        <v>2481.1008426959897</v>
      </c>
      <c r="N109" s="23">
        <f t="shared" si="8"/>
        <v>71.744462715765778</v>
      </c>
      <c r="O109" s="30"/>
    </row>
    <row r="110" spans="1:15" x14ac:dyDescent="0.2">
      <c r="A110" s="97">
        <v>104</v>
      </c>
      <c r="B110" s="88">
        <f>Diskonteringsverktyg!$D$12+A110</f>
        <v>2132</v>
      </c>
      <c r="C110" s="22">
        <f>1/(Diskonteringsverktyg!$D$9)^(B110-Diskonteringsverktyg!$D$10)</f>
        <v>2.7938534489064144E-2</v>
      </c>
      <c r="D110" s="21">
        <f>IF(B110&lt;=Diskonteringsverktyg!$D$15,Diskonteringsverktyg!$D$21^(B110-Diskonteringsverktyg!$D$24),IF(AND(B110&gt;Diskonteringsverktyg!$D$15,B110&lt;=Diskonteringsverktyg!$D$16),Diskonteringsverktyg!$D$21^(Diskonteringsverktyg!$D$15-Diskonteringsverktyg!$D$24)*Diskonteringsverktyg!$D$22^(B110-Diskonteringsverktyg!$D$15),D109))</f>
        <v>1.4311229737306663</v>
      </c>
      <c r="E110" s="21">
        <f>IF(B110&lt;=Diskonteringsverktyg!$D$16,(Diskonteringsverktyg!$D$13)^(B110-Diskonteringsverktyg!$D$23),E109)</f>
        <v>1.6921186295957242</v>
      </c>
      <c r="F110" s="23">
        <f>IF(AND(Diskonteringsverktyg!$D$29="Ja",Diskonteringsverktyg!$D$30="Ja"),$D110*$E110*Diskonteringsverktyg!$D$27*Diskonteringsverktyg!$D$28,IF(AND(Diskonteringsverktyg!$D$29="Ja",Diskonteringsverktyg!$D$30="Nej"),$E110*Diskonteringsverktyg!$D$27*Diskonteringsverktyg!$D$28,IF(AND(Diskonteringsverktyg!$D$29="Nej",Diskonteringsverktyg!$D$30="Ja"),$D110*Diskonteringsverktyg!$D$27*Diskonteringsverktyg!$D$28,Diskonteringsverktyg!$D$27*Diskonteringsverktyg!$D$28)))</f>
        <v>12108.149225460464</v>
      </c>
      <c r="G110" s="23">
        <f>IF(AND(Diskonteringsverktyg!$D$33="Ja",Diskonteringsverktyg!$D$34="Ja"),$D110*$E110*Diskonteringsverktyg!$D$31*Diskonteringsverktyg!$D$32,IF(AND(Diskonteringsverktyg!$D$33="Ja",Diskonteringsverktyg!$D$34="Nej"),$E110*Diskonteringsverktyg!$D$31*Diskonteringsverktyg!$D$32,IF(AND(Diskonteringsverktyg!$D$33="Nej",Diskonteringsverktyg!$D$34="Ja"),$D110*Diskonteringsverktyg!$D$31*Diskonteringsverktyg!$D$32,Diskonteringsverktyg!$D$31*Diskonteringsverktyg!$D$32)))</f>
        <v>0</v>
      </c>
      <c r="H110" s="23">
        <f>IF(AND(Diskonteringsverktyg!$D$37="Ja",Diskonteringsverktyg!$D$38="Ja"),$D110*$E110*Diskonteringsverktyg!$D$35*Diskonteringsverktyg!$D$36,IF(AND(Diskonteringsverktyg!$D$37="Ja",Diskonteringsverktyg!$D$38="Nej"),$E110*Diskonteringsverktyg!$D$35*Diskonteringsverktyg!$D$36,IF(AND(Diskonteringsverktyg!$D$37="Nej",Diskonteringsverktyg!$D$38="Ja"),$D110*Diskonteringsverktyg!$D$35*Diskonteringsverktyg!$D$36,Diskonteringsverktyg!$D$35*Diskonteringsverktyg!$D$36)))</f>
        <v>0</v>
      </c>
      <c r="I110" s="23">
        <f>IF(AND(Diskonteringsverktyg!$D$41="Ja",Diskonteringsverktyg!$D$42="Ja"),$D110*$E110*Diskonteringsverktyg!$D$39*Diskonteringsverktyg!$D$40,IF(AND(Diskonteringsverktyg!$D$41="Ja",Diskonteringsverktyg!$D$42="Nej"),$E110*Diskonteringsverktyg!$D$39*Diskonteringsverktyg!$D$40,IF(AND(Diskonteringsverktyg!$D$41="Nej",Diskonteringsverktyg!$D$42="Ja"),$D110*Diskonteringsverktyg!$D$39*Diskonteringsverktyg!$D$40,Diskonteringsverktyg!$D$39*Diskonteringsverktyg!$D$40)))</f>
        <v>0</v>
      </c>
      <c r="J110" s="23">
        <f>IF(AND(Diskonteringsverktyg!$D$45="Ja",Diskonteringsverktyg!$D$46="Ja"),$D110*$E110*Diskonteringsverktyg!$D$43*Diskonteringsverktyg!$D$44,IF(AND(Diskonteringsverktyg!$D$45="Ja",Diskonteringsverktyg!$D$46="Nej"),$E110*Diskonteringsverktyg!$D$43*Diskonteringsverktyg!$D$44,IF(AND(Diskonteringsverktyg!$D$45="Nej",Diskonteringsverktyg!$D$46="Ja"),$D110*Diskonteringsverktyg!$D$43*Diskonteringsverktyg!$D$44,Diskonteringsverktyg!$D$43*Diskonteringsverktyg!$D$44)))</f>
        <v>0</v>
      </c>
      <c r="K110" s="23">
        <f t="shared" si="6"/>
        <v>12108.149225460464</v>
      </c>
      <c r="L110" s="23">
        <f t="shared" si="7"/>
        <v>338.28394473426249</v>
      </c>
      <c r="M110" s="23">
        <f>IF((B110&lt;=Diskonteringsverktyg!$D$16),Diskonteringsverktyg!$D$50*Diskonteringsverktyg!$D$14^(B110-Diskonteringsverktyg!$D$11),M109)</f>
        <v>2481.1008426959897</v>
      </c>
      <c r="N110" s="23">
        <f t="shared" si="8"/>
        <v>69.318321464508017</v>
      </c>
      <c r="O110" s="30"/>
    </row>
    <row r="111" spans="1:15" x14ac:dyDescent="0.2">
      <c r="A111" s="97">
        <v>105</v>
      </c>
      <c r="B111" s="88">
        <f>Diskonteringsverktyg!$D$12+A111</f>
        <v>2133</v>
      </c>
      <c r="C111" s="22">
        <f>1/(Diskonteringsverktyg!$D$9)^(B111-Diskonteringsverktyg!$D$10)</f>
        <v>2.6993753129530576E-2</v>
      </c>
      <c r="D111" s="21">
        <f>IF(B111&lt;=Diskonteringsverktyg!$D$15,Diskonteringsverktyg!$D$21^(B111-Diskonteringsverktyg!$D$24),IF(AND(B111&gt;Diskonteringsverktyg!$D$15,B111&lt;=Diskonteringsverktyg!$D$16),Diskonteringsverktyg!$D$21^(Diskonteringsverktyg!$D$15-Diskonteringsverktyg!$D$24)*Diskonteringsverktyg!$D$22^(B111-Diskonteringsverktyg!$D$15),D110))</f>
        <v>1.4311229737306663</v>
      </c>
      <c r="E111" s="21">
        <f>IF(B111&lt;=Diskonteringsverktyg!$D$16,(Diskonteringsverktyg!$D$13)^(B111-Diskonteringsverktyg!$D$23),E110)</f>
        <v>1.6921186295957242</v>
      </c>
      <c r="F111" s="23">
        <f>IF(AND(Diskonteringsverktyg!$D$29="Ja",Diskonteringsverktyg!$D$30="Ja"),$D111*$E111*Diskonteringsverktyg!$D$27*Diskonteringsverktyg!$D$28,IF(AND(Diskonteringsverktyg!$D$29="Ja",Diskonteringsverktyg!$D$30="Nej"),$E111*Diskonteringsverktyg!$D$27*Diskonteringsverktyg!$D$28,IF(AND(Diskonteringsverktyg!$D$29="Nej",Diskonteringsverktyg!$D$30="Ja"),$D111*Diskonteringsverktyg!$D$27*Diskonteringsverktyg!$D$28,Diskonteringsverktyg!$D$27*Diskonteringsverktyg!$D$28)))</f>
        <v>12108.149225460464</v>
      </c>
      <c r="G111" s="23">
        <f>IF(AND(Diskonteringsverktyg!$D$33="Ja",Diskonteringsverktyg!$D$34="Ja"),$D111*$E111*Diskonteringsverktyg!$D$31*Diskonteringsverktyg!$D$32,IF(AND(Diskonteringsverktyg!$D$33="Ja",Diskonteringsverktyg!$D$34="Nej"),$E111*Diskonteringsverktyg!$D$31*Diskonteringsverktyg!$D$32,IF(AND(Diskonteringsverktyg!$D$33="Nej",Diskonteringsverktyg!$D$34="Ja"),$D111*Diskonteringsverktyg!$D$31*Diskonteringsverktyg!$D$32,Diskonteringsverktyg!$D$31*Diskonteringsverktyg!$D$32)))</f>
        <v>0</v>
      </c>
      <c r="H111" s="23">
        <f>IF(AND(Diskonteringsverktyg!$D$37="Ja",Diskonteringsverktyg!$D$38="Ja"),$D111*$E111*Diskonteringsverktyg!$D$35*Diskonteringsverktyg!$D$36,IF(AND(Diskonteringsverktyg!$D$37="Ja",Diskonteringsverktyg!$D$38="Nej"),$E111*Diskonteringsverktyg!$D$35*Diskonteringsverktyg!$D$36,IF(AND(Diskonteringsverktyg!$D$37="Nej",Diskonteringsverktyg!$D$38="Ja"),$D111*Diskonteringsverktyg!$D$35*Diskonteringsverktyg!$D$36,Diskonteringsverktyg!$D$35*Diskonteringsverktyg!$D$36)))</f>
        <v>0</v>
      </c>
      <c r="I111" s="23">
        <f>IF(AND(Diskonteringsverktyg!$D$41="Ja",Diskonteringsverktyg!$D$42="Ja"),$D111*$E111*Diskonteringsverktyg!$D$39*Diskonteringsverktyg!$D$40,IF(AND(Diskonteringsverktyg!$D$41="Ja",Diskonteringsverktyg!$D$42="Nej"),$E111*Diskonteringsverktyg!$D$39*Diskonteringsverktyg!$D$40,IF(AND(Diskonteringsverktyg!$D$41="Nej",Diskonteringsverktyg!$D$42="Ja"),$D111*Diskonteringsverktyg!$D$39*Diskonteringsverktyg!$D$40,Diskonteringsverktyg!$D$39*Diskonteringsverktyg!$D$40)))</f>
        <v>0</v>
      </c>
      <c r="J111" s="23">
        <f>IF(AND(Diskonteringsverktyg!$D$45="Ja",Diskonteringsverktyg!$D$46="Ja"),$D111*$E111*Diskonteringsverktyg!$D$43*Diskonteringsverktyg!$D$44,IF(AND(Diskonteringsverktyg!$D$45="Ja",Diskonteringsverktyg!$D$46="Nej"),$E111*Diskonteringsverktyg!$D$43*Diskonteringsverktyg!$D$44,IF(AND(Diskonteringsverktyg!$D$45="Nej",Diskonteringsverktyg!$D$46="Ja"),$D111*Diskonteringsverktyg!$D$43*Diskonteringsverktyg!$D$44,Diskonteringsverktyg!$D$43*Diskonteringsverktyg!$D$44)))</f>
        <v>0</v>
      </c>
      <c r="K111" s="23">
        <f t="shared" si="6"/>
        <v>12108.149225460464</v>
      </c>
      <c r="L111" s="23">
        <f t="shared" si="7"/>
        <v>326.84439104759662</v>
      </c>
      <c r="M111" s="23">
        <f>IF((B111&lt;=Diskonteringsverktyg!$D$16),Diskonteringsverktyg!$D$50*Diskonteringsverktyg!$D$14^(B111-Diskonteringsverktyg!$D$11),M110)</f>
        <v>2481.1008426959897</v>
      </c>
      <c r="N111" s="23">
        <f t="shared" si="8"/>
        <v>66.974223637205824</v>
      </c>
      <c r="O111" s="30"/>
    </row>
    <row r="112" spans="1:15" x14ac:dyDescent="0.2">
      <c r="A112" s="97">
        <v>106</v>
      </c>
      <c r="B112" s="88">
        <f>Diskonteringsverktyg!$D$12+A112</f>
        <v>2134</v>
      </c>
      <c r="C112" s="22">
        <f>1/(Diskonteringsverktyg!$D$9)^(B112-Diskonteringsverktyg!$D$10)</f>
        <v>2.6080920898097174E-2</v>
      </c>
      <c r="D112" s="21">
        <f>IF(B112&lt;=Diskonteringsverktyg!$D$15,Diskonteringsverktyg!$D$21^(B112-Diskonteringsverktyg!$D$24),IF(AND(B112&gt;Diskonteringsverktyg!$D$15,B112&lt;=Diskonteringsverktyg!$D$16),Diskonteringsverktyg!$D$21^(Diskonteringsverktyg!$D$15-Diskonteringsverktyg!$D$24)*Diskonteringsverktyg!$D$22^(B112-Diskonteringsverktyg!$D$15),D111))</f>
        <v>1.4311229737306663</v>
      </c>
      <c r="E112" s="21">
        <f>IF(B112&lt;=Diskonteringsverktyg!$D$16,(Diskonteringsverktyg!$D$13)^(B112-Diskonteringsverktyg!$D$23),E111)</f>
        <v>1.6921186295957242</v>
      </c>
      <c r="F112" s="23">
        <f>IF(AND(Diskonteringsverktyg!$D$29="Ja",Diskonteringsverktyg!$D$30="Ja"),$D112*$E112*Diskonteringsverktyg!$D$27*Diskonteringsverktyg!$D$28,IF(AND(Diskonteringsverktyg!$D$29="Ja",Diskonteringsverktyg!$D$30="Nej"),$E112*Diskonteringsverktyg!$D$27*Diskonteringsverktyg!$D$28,IF(AND(Diskonteringsverktyg!$D$29="Nej",Diskonteringsverktyg!$D$30="Ja"),$D112*Diskonteringsverktyg!$D$27*Diskonteringsverktyg!$D$28,Diskonteringsverktyg!$D$27*Diskonteringsverktyg!$D$28)))</f>
        <v>12108.149225460464</v>
      </c>
      <c r="G112" s="23">
        <f>IF(AND(Diskonteringsverktyg!$D$33="Ja",Diskonteringsverktyg!$D$34="Ja"),$D112*$E112*Diskonteringsverktyg!$D$31*Diskonteringsverktyg!$D$32,IF(AND(Diskonteringsverktyg!$D$33="Ja",Diskonteringsverktyg!$D$34="Nej"),$E112*Diskonteringsverktyg!$D$31*Diskonteringsverktyg!$D$32,IF(AND(Diskonteringsverktyg!$D$33="Nej",Diskonteringsverktyg!$D$34="Ja"),$D112*Diskonteringsverktyg!$D$31*Diskonteringsverktyg!$D$32,Diskonteringsverktyg!$D$31*Diskonteringsverktyg!$D$32)))</f>
        <v>0</v>
      </c>
      <c r="H112" s="23">
        <f>IF(AND(Diskonteringsverktyg!$D$37="Ja",Diskonteringsverktyg!$D$38="Ja"),$D112*$E112*Diskonteringsverktyg!$D$35*Diskonteringsverktyg!$D$36,IF(AND(Diskonteringsverktyg!$D$37="Ja",Diskonteringsverktyg!$D$38="Nej"),$E112*Diskonteringsverktyg!$D$35*Diskonteringsverktyg!$D$36,IF(AND(Diskonteringsverktyg!$D$37="Nej",Diskonteringsverktyg!$D$38="Ja"),$D112*Diskonteringsverktyg!$D$35*Diskonteringsverktyg!$D$36,Diskonteringsverktyg!$D$35*Diskonteringsverktyg!$D$36)))</f>
        <v>0</v>
      </c>
      <c r="I112" s="23">
        <f>IF(AND(Diskonteringsverktyg!$D$41="Ja",Diskonteringsverktyg!$D$42="Ja"),$D112*$E112*Diskonteringsverktyg!$D$39*Diskonteringsverktyg!$D$40,IF(AND(Diskonteringsverktyg!$D$41="Ja",Diskonteringsverktyg!$D$42="Nej"),$E112*Diskonteringsverktyg!$D$39*Diskonteringsverktyg!$D$40,IF(AND(Diskonteringsverktyg!$D$41="Nej",Diskonteringsverktyg!$D$42="Ja"),$D112*Diskonteringsverktyg!$D$39*Diskonteringsverktyg!$D$40,Diskonteringsverktyg!$D$39*Diskonteringsverktyg!$D$40)))</f>
        <v>0</v>
      </c>
      <c r="J112" s="23">
        <f>IF(AND(Diskonteringsverktyg!$D$45="Ja",Diskonteringsverktyg!$D$46="Ja"),$D112*$E112*Diskonteringsverktyg!$D$43*Diskonteringsverktyg!$D$44,IF(AND(Diskonteringsverktyg!$D$45="Ja",Diskonteringsverktyg!$D$46="Nej"),$E112*Diskonteringsverktyg!$D$43*Diskonteringsverktyg!$D$44,IF(AND(Diskonteringsverktyg!$D$45="Nej",Diskonteringsverktyg!$D$46="Ja"),$D112*Diskonteringsverktyg!$D$43*Diskonteringsverktyg!$D$44,Diskonteringsverktyg!$D$43*Diskonteringsverktyg!$D$44)))</f>
        <v>0</v>
      </c>
      <c r="K112" s="23">
        <f t="shared" si="6"/>
        <v>12108.149225460464</v>
      </c>
      <c r="L112" s="23">
        <f t="shared" si="7"/>
        <v>315.79168217159094</v>
      </c>
      <c r="M112" s="23">
        <f>IF((B112&lt;=Diskonteringsverktyg!$D$16),Diskonteringsverktyg!$D$50*Diskonteringsverktyg!$D$14^(B112-Diskonteringsverktyg!$D$11),M111)</f>
        <v>2481.1008426959897</v>
      </c>
      <c r="N112" s="23">
        <f t="shared" si="8"/>
        <v>64.709394818556348</v>
      </c>
      <c r="O112" s="30"/>
    </row>
    <row r="113" spans="1:15" x14ac:dyDescent="0.2">
      <c r="A113" s="97">
        <v>107</v>
      </c>
      <c r="B113" s="88">
        <f>Diskonteringsverktyg!$D$12+A113</f>
        <v>2135</v>
      </c>
      <c r="C113" s="22">
        <f>1/(Diskonteringsverktyg!$D$9)^(B113-Diskonteringsverktyg!$D$10)</f>
        <v>2.5198957389465867E-2</v>
      </c>
      <c r="D113" s="21">
        <f>IF(B113&lt;=Diskonteringsverktyg!$D$15,Diskonteringsverktyg!$D$21^(B113-Diskonteringsverktyg!$D$24),IF(AND(B113&gt;Diskonteringsverktyg!$D$15,B113&lt;=Diskonteringsverktyg!$D$16),Diskonteringsverktyg!$D$21^(Diskonteringsverktyg!$D$15-Diskonteringsverktyg!$D$24)*Diskonteringsverktyg!$D$22^(B113-Diskonteringsverktyg!$D$15),D112))</f>
        <v>1.4311229737306663</v>
      </c>
      <c r="E113" s="21">
        <f>IF(B113&lt;=Diskonteringsverktyg!$D$16,(Diskonteringsverktyg!$D$13)^(B113-Diskonteringsverktyg!$D$23),E112)</f>
        <v>1.6921186295957242</v>
      </c>
      <c r="F113" s="23">
        <f>IF(AND(Diskonteringsverktyg!$D$29="Ja",Diskonteringsverktyg!$D$30="Ja"),$D113*$E113*Diskonteringsverktyg!$D$27*Diskonteringsverktyg!$D$28,IF(AND(Diskonteringsverktyg!$D$29="Ja",Diskonteringsverktyg!$D$30="Nej"),$E113*Diskonteringsverktyg!$D$27*Diskonteringsverktyg!$D$28,IF(AND(Diskonteringsverktyg!$D$29="Nej",Diskonteringsverktyg!$D$30="Ja"),$D113*Diskonteringsverktyg!$D$27*Diskonteringsverktyg!$D$28,Diskonteringsverktyg!$D$27*Diskonteringsverktyg!$D$28)))</f>
        <v>12108.149225460464</v>
      </c>
      <c r="G113" s="23">
        <f>IF(AND(Diskonteringsverktyg!$D$33="Ja",Diskonteringsverktyg!$D$34="Ja"),$D113*$E113*Diskonteringsverktyg!$D$31*Diskonteringsverktyg!$D$32,IF(AND(Diskonteringsverktyg!$D$33="Ja",Diskonteringsverktyg!$D$34="Nej"),$E113*Diskonteringsverktyg!$D$31*Diskonteringsverktyg!$D$32,IF(AND(Diskonteringsverktyg!$D$33="Nej",Diskonteringsverktyg!$D$34="Ja"),$D113*Diskonteringsverktyg!$D$31*Diskonteringsverktyg!$D$32,Diskonteringsverktyg!$D$31*Diskonteringsverktyg!$D$32)))</f>
        <v>0</v>
      </c>
      <c r="H113" s="23">
        <f>IF(AND(Diskonteringsverktyg!$D$37="Ja",Diskonteringsverktyg!$D$38="Ja"),$D113*$E113*Diskonteringsverktyg!$D$35*Diskonteringsverktyg!$D$36,IF(AND(Diskonteringsverktyg!$D$37="Ja",Diskonteringsverktyg!$D$38="Nej"),$E113*Diskonteringsverktyg!$D$35*Diskonteringsverktyg!$D$36,IF(AND(Diskonteringsverktyg!$D$37="Nej",Diskonteringsverktyg!$D$38="Ja"),$D113*Diskonteringsverktyg!$D$35*Diskonteringsverktyg!$D$36,Diskonteringsverktyg!$D$35*Diskonteringsverktyg!$D$36)))</f>
        <v>0</v>
      </c>
      <c r="I113" s="23">
        <f>IF(AND(Diskonteringsverktyg!$D$41="Ja",Diskonteringsverktyg!$D$42="Ja"),$D113*$E113*Diskonteringsverktyg!$D$39*Diskonteringsverktyg!$D$40,IF(AND(Diskonteringsverktyg!$D$41="Ja",Diskonteringsverktyg!$D$42="Nej"),$E113*Diskonteringsverktyg!$D$39*Diskonteringsverktyg!$D$40,IF(AND(Diskonteringsverktyg!$D$41="Nej",Diskonteringsverktyg!$D$42="Ja"),$D113*Diskonteringsverktyg!$D$39*Diskonteringsverktyg!$D$40,Diskonteringsverktyg!$D$39*Diskonteringsverktyg!$D$40)))</f>
        <v>0</v>
      </c>
      <c r="J113" s="23">
        <f>IF(AND(Diskonteringsverktyg!$D$45="Ja",Diskonteringsverktyg!$D$46="Ja"),$D113*$E113*Diskonteringsverktyg!$D$43*Diskonteringsverktyg!$D$44,IF(AND(Diskonteringsverktyg!$D$45="Ja",Diskonteringsverktyg!$D$46="Nej"),$E113*Diskonteringsverktyg!$D$43*Diskonteringsverktyg!$D$44,IF(AND(Diskonteringsverktyg!$D$45="Nej",Diskonteringsverktyg!$D$46="Ja"),$D113*Diskonteringsverktyg!$D$43*Diskonteringsverktyg!$D$44,Diskonteringsverktyg!$D$43*Diskonteringsverktyg!$D$44)))</f>
        <v>0</v>
      </c>
      <c r="K113" s="23">
        <f t="shared" si="6"/>
        <v>12108.149225460464</v>
      </c>
      <c r="L113" s="23">
        <f t="shared" si="7"/>
        <v>305.11273639767234</v>
      </c>
      <c r="M113" s="23">
        <f>IF((B113&lt;=Diskonteringsverktyg!$D$16),Diskonteringsverktyg!$D$50*Diskonteringsverktyg!$D$14^(B113-Diskonteringsverktyg!$D$11),M112)</f>
        <v>2481.1008426959897</v>
      </c>
      <c r="N113" s="23">
        <f t="shared" si="8"/>
        <v>62.5211544140641</v>
      </c>
      <c r="O113" s="30"/>
    </row>
    <row r="114" spans="1:15" x14ac:dyDescent="0.2">
      <c r="A114" s="97">
        <v>108</v>
      </c>
      <c r="B114" s="88">
        <f>Diskonteringsverktyg!$D$12+A114</f>
        <v>2136</v>
      </c>
      <c r="C114" s="22">
        <f>1/(Diskonteringsverktyg!$D$9)^(B114-Diskonteringsverktyg!$D$10)</f>
        <v>2.434681873378345E-2</v>
      </c>
      <c r="D114" s="21">
        <f>IF(B114&lt;=Diskonteringsverktyg!$D$15,Diskonteringsverktyg!$D$21^(B114-Diskonteringsverktyg!$D$24),IF(AND(B114&gt;Diskonteringsverktyg!$D$15,B114&lt;=Diskonteringsverktyg!$D$16),Diskonteringsverktyg!$D$21^(Diskonteringsverktyg!$D$15-Diskonteringsverktyg!$D$24)*Diskonteringsverktyg!$D$22^(B114-Diskonteringsverktyg!$D$15),D113))</f>
        <v>1.4311229737306663</v>
      </c>
      <c r="E114" s="21">
        <f>IF(B114&lt;=Diskonteringsverktyg!$D$16,(Diskonteringsverktyg!$D$13)^(B114-Diskonteringsverktyg!$D$23),E113)</f>
        <v>1.6921186295957242</v>
      </c>
      <c r="F114" s="23">
        <f>IF(AND(Diskonteringsverktyg!$D$29="Ja",Diskonteringsverktyg!$D$30="Ja"),$D114*$E114*Diskonteringsverktyg!$D$27*Diskonteringsverktyg!$D$28,IF(AND(Diskonteringsverktyg!$D$29="Ja",Diskonteringsverktyg!$D$30="Nej"),$E114*Diskonteringsverktyg!$D$27*Diskonteringsverktyg!$D$28,IF(AND(Diskonteringsverktyg!$D$29="Nej",Diskonteringsverktyg!$D$30="Ja"),$D114*Diskonteringsverktyg!$D$27*Diskonteringsverktyg!$D$28,Diskonteringsverktyg!$D$27*Diskonteringsverktyg!$D$28)))</f>
        <v>12108.149225460464</v>
      </c>
      <c r="G114" s="23">
        <f>IF(AND(Diskonteringsverktyg!$D$33="Ja",Diskonteringsverktyg!$D$34="Ja"),$D114*$E114*Diskonteringsverktyg!$D$31*Diskonteringsverktyg!$D$32,IF(AND(Diskonteringsverktyg!$D$33="Ja",Diskonteringsverktyg!$D$34="Nej"),$E114*Diskonteringsverktyg!$D$31*Diskonteringsverktyg!$D$32,IF(AND(Diskonteringsverktyg!$D$33="Nej",Diskonteringsverktyg!$D$34="Ja"),$D114*Diskonteringsverktyg!$D$31*Diskonteringsverktyg!$D$32,Diskonteringsverktyg!$D$31*Diskonteringsverktyg!$D$32)))</f>
        <v>0</v>
      </c>
      <c r="H114" s="23">
        <f>IF(AND(Diskonteringsverktyg!$D$37="Ja",Diskonteringsverktyg!$D$38="Ja"),$D114*$E114*Diskonteringsverktyg!$D$35*Diskonteringsverktyg!$D$36,IF(AND(Diskonteringsverktyg!$D$37="Ja",Diskonteringsverktyg!$D$38="Nej"),$E114*Diskonteringsverktyg!$D$35*Diskonteringsverktyg!$D$36,IF(AND(Diskonteringsverktyg!$D$37="Nej",Diskonteringsverktyg!$D$38="Ja"),$D114*Diskonteringsverktyg!$D$35*Diskonteringsverktyg!$D$36,Diskonteringsverktyg!$D$35*Diskonteringsverktyg!$D$36)))</f>
        <v>0</v>
      </c>
      <c r="I114" s="23">
        <f>IF(AND(Diskonteringsverktyg!$D$41="Ja",Diskonteringsverktyg!$D$42="Ja"),$D114*$E114*Diskonteringsverktyg!$D$39*Diskonteringsverktyg!$D$40,IF(AND(Diskonteringsverktyg!$D$41="Ja",Diskonteringsverktyg!$D$42="Nej"),$E114*Diskonteringsverktyg!$D$39*Diskonteringsverktyg!$D$40,IF(AND(Diskonteringsverktyg!$D$41="Nej",Diskonteringsverktyg!$D$42="Ja"),$D114*Diskonteringsverktyg!$D$39*Diskonteringsverktyg!$D$40,Diskonteringsverktyg!$D$39*Diskonteringsverktyg!$D$40)))</f>
        <v>0</v>
      </c>
      <c r="J114" s="23">
        <f>IF(AND(Diskonteringsverktyg!$D$45="Ja",Diskonteringsverktyg!$D$46="Ja"),$D114*$E114*Diskonteringsverktyg!$D$43*Diskonteringsverktyg!$D$44,IF(AND(Diskonteringsverktyg!$D$45="Ja",Diskonteringsverktyg!$D$46="Nej"),$E114*Diskonteringsverktyg!$D$43*Diskonteringsverktyg!$D$44,IF(AND(Diskonteringsverktyg!$D$45="Nej",Diskonteringsverktyg!$D$46="Ja"),$D114*Diskonteringsverktyg!$D$43*Diskonteringsverktyg!$D$44,Diskonteringsverktyg!$D$43*Diskonteringsverktyg!$D$44)))</f>
        <v>0</v>
      </c>
      <c r="K114" s="23">
        <f t="shared" ref="K114:K120" si="9">SUM(F114:J114)</f>
        <v>12108.149225460464</v>
      </c>
      <c r="L114" s="23">
        <f t="shared" ref="L114:L120" si="10">K114*C114</f>
        <v>294.79491439388636</v>
      </c>
      <c r="M114" s="23">
        <f>IF((B114&lt;=Diskonteringsverktyg!$D$16),Diskonteringsverktyg!$D$50*Diskonteringsverktyg!$D$14^(B114-Diskonteringsverktyg!$D$11),M113)</f>
        <v>2481.1008426959897</v>
      </c>
      <c r="N114" s="23">
        <f t="shared" ref="N114:N120" si="11">M114*C114</f>
        <v>60.406912477356627</v>
      </c>
      <c r="O114" s="30"/>
    </row>
    <row r="115" spans="1:15" x14ac:dyDescent="0.2">
      <c r="A115" s="97">
        <v>109</v>
      </c>
      <c r="B115" s="88">
        <f>Diskonteringsverktyg!$D$12+A115</f>
        <v>2137</v>
      </c>
      <c r="C115" s="22">
        <f>1/(Diskonteringsverktyg!$D$9)^(B115-Diskonteringsverktyg!$D$10)</f>
        <v>2.3523496361143433E-2</v>
      </c>
      <c r="D115" s="21">
        <f>IF(B115&lt;=Diskonteringsverktyg!$D$15,Diskonteringsverktyg!$D$21^(B115-Diskonteringsverktyg!$D$24),IF(AND(B115&gt;Diskonteringsverktyg!$D$15,B115&lt;=Diskonteringsverktyg!$D$16),Diskonteringsverktyg!$D$21^(Diskonteringsverktyg!$D$15-Diskonteringsverktyg!$D$24)*Diskonteringsverktyg!$D$22^(B115-Diskonteringsverktyg!$D$15),D114))</f>
        <v>1.4311229737306663</v>
      </c>
      <c r="E115" s="21">
        <f>IF(B115&lt;=Diskonteringsverktyg!$D$16,(Diskonteringsverktyg!$D$13)^(B115-Diskonteringsverktyg!$D$23),E114)</f>
        <v>1.6921186295957242</v>
      </c>
      <c r="F115" s="23">
        <f>IF(AND(Diskonteringsverktyg!$D$29="Ja",Diskonteringsverktyg!$D$30="Ja"),$D115*$E115*Diskonteringsverktyg!$D$27*Diskonteringsverktyg!$D$28,IF(AND(Diskonteringsverktyg!$D$29="Ja",Diskonteringsverktyg!$D$30="Nej"),$E115*Diskonteringsverktyg!$D$27*Diskonteringsverktyg!$D$28,IF(AND(Diskonteringsverktyg!$D$29="Nej",Diskonteringsverktyg!$D$30="Ja"),$D115*Diskonteringsverktyg!$D$27*Diskonteringsverktyg!$D$28,Diskonteringsverktyg!$D$27*Diskonteringsverktyg!$D$28)))</f>
        <v>12108.149225460464</v>
      </c>
      <c r="G115" s="23">
        <f>IF(AND(Diskonteringsverktyg!$D$33="Ja",Diskonteringsverktyg!$D$34="Ja"),$D115*$E115*Diskonteringsverktyg!$D$31*Diskonteringsverktyg!$D$32,IF(AND(Diskonteringsverktyg!$D$33="Ja",Diskonteringsverktyg!$D$34="Nej"),$E115*Diskonteringsverktyg!$D$31*Diskonteringsverktyg!$D$32,IF(AND(Diskonteringsverktyg!$D$33="Nej",Diskonteringsverktyg!$D$34="Ja"),$D115*Diskonteringsverktyg!$D$31*Diskonteringsverktyg!$D$32,Diskonteringsverktyg!$D$31*Diskonteringsverktyg!$D$32)))</f>
        <v>0</v>
      </c>
      <c r="H115" s="23">
        <f>IF(AND(Diskonteringsverktyg!$D$37="Ja",Diskonteringsverktyg!$D$38="Ja"),$D115*$E115*Diskonteringsverktyg!$D$35*Diskonteringsverktyg!$D$36,IF(AND(Diskonteringsverktyg!$D$37="Ja",Diskonteringsverktyg!$D$38="Nej"),$E115*Diskonteringsverktyg!$D$35*Diskonteringsverktyg!$D$36,IF(AND(Diskonteringsverktyg!$D$37="Nej",Diskonteringsverktyg!$D$38="Ja"),$D115*Diskonteringsverktyg!$D$35*Diskonteringsverktyg!$D$36,Diskonteringsverktyg!$D$35*Diskonteringsverktyg!$D$36)))</f>
        <v>0</v>
      </c>
      <c r="I115" s="23">
        <f>IF(AND(Diskonteringsverktyg!$D$41="Ja",Diskonteringsverktyg!$D$42="Ja"),$D115*$E115*Diskonteringsverktyg!$D$39*Diskonteringsverktyg!$D$40,IF(AND(Diskonteringsverktyg!$D$41="Ja",Diskonteringsverktyg!$D$42="Nej"),$E115*Diskonteringsverktyg!$D$39*Diskonteringsverktyg!$D$40,IF(AND(Diskonteringsverktyg!$D$41="Nej",Diskonteringsverktyg!$D$42="Ja"),$D115*Diskonteringsverktyg!$D$39*Diskonteringsverktyg!$D$40,Diskonteringsverktyg!$D$39*Diskonteringsverktyg!$D$40)))</f>
        <v>0</v>
      </c>
      <c r="J115" s="23">
        <f>IF(AND(Diskonteringsverktyg!$D$45="Ja",Diskonteringsverktyg!$D$46="Ja"),$D115*$E115*Diskonteringsverktyg!$D$43*Diskonteringsverktyg!$D$44,IF(AND(Diskonteringsverktyg!$D$45="Ja",Diskonteringsverktyg!$D$46="Nej"),$E115*Diskonteringsverktyg!$D$43*Diskonteringsverktyg!$D$44,IF(AND(Diskonteringsverktyg!$D$45="Nej",Diskonteringsverktyg!$D$46="Ja"),$D115*Diskonteringsverktyg!$D$43*Diskonteringsverktyg!$D$44,Diskonteringsverktyg!$D$43*Diskonteringsverktyg!$D$44)))</f>
        <v>0</v>
      </c>
      <c r="K115" s="23">
        <f t="shared" si="9"/>
        <v>12108.149225460464</v>
      </c>
      <c r="L115" s="23">
        <f t="shared" si="10"/>
        <v>284.82600424530091</v>
      </c>
      <c r="M115" s="23">
        <f>IF((B115&lt;=Diskonteringsverktyg!$D$16),Diskonteringsverktyg!$D$50*Diskonteringsverktyg!$D$14^(B115-Diskonteringsverktyg!$D$11),M114)</f>
        <v>2481.1008426959897</v>
      </c>
      <c r="N115" s="23">
        <f t="shared" si="11"/>
        <v>58.364166644789016</v>
      </c>
      <c r="O115" s="30"/>
    </row>
    <row r="116" spans="1:15" x14ac:dyDescent="0.2">
      <c r="A116" s="97">
        <v>110</v>
      </c>
      <c r="B116" s="88">
        <f>Diskonteringsverktyg!$D$12+A116</f>
        <v>2138</v>
      </c>
      <c r="C116" s="22">
        <f>1/(Diskonteringsverktyg!$D$9)^(B116-Diskonteringsverktyg!$D$10)</f>
        <v>2.2728015807868047E-2</v>
      </c>
      <c r="D116" s="21">
        <f>IF(B116&lt;=Diskonteringsverktyg!$D$15,Diskonteringsverktyg!$D$21^(B116-Diskonteringsverktyg!$D$24),IF(AND(B116&gt;Diskonteringsverktyg!$D$15,B116&lt;=Diskonteringsverktyg!$D$16),Diskonteringsverktyg!$D$21^(Diskonteringsverktyg!$D$15-Diskonteringsverktyg!$D$24)*Diskonteringsverktyg!$D$22^(B116-Diskonteringsverktyg!$D$15),D115))</f>
        <v>1.4311229737306663</v>
      </c>
      <c r="E116" s="21">
        <f>IF(B116&lt;=Diskonteringsverktyg!$D$16,(Diskonteringsverktyg!$D$13)^(B116-Diskonteringsverktyg!$D$23),E115)</f>
        <v>1.6921186295957242</v>
      </c>
      <c r="F116" s="23">
        <f>IF(AND(Diskonteringsverktyg!$D$29="Ja",Diskonteringsverktyg!$D$30="Ja"),$D116*$E116*Diskonteringsverktyg!$D$27*Diskonteringsverktyg!$D$28,IF(AND(Diskonteringsverktyg!$D$29="Ja",Diskonteringsverktyg!$D$30="Nej"),$E116*Diskonteringsverktyg!$D$27*Diskonteringsverktyg!$D$28,IF(AND(Diskonteringsverktyg!$D$29="Nej",Diskonteringsverktyg!$D$30="Ja"),$D116*Diskonteringsverktyg!$D$27*Diskonteringsverktyg!$D$28,Diskonteringsverktyg!$D$27*Diskonteringsverktyg!$D$28)))</f>
        <v>12108.149225460464</v>
      </c>
      <c r="G116" s="23">
        <f>IF(AND(Diskonteringsverktyg!$D$33="Ja",Diskonteringsverktyg!$D$34="Ja"),$D116*$E116*Diskonteringsverktyg!$D$31*Diskonteringsverktyg!$D$32,IF(AND(Diskonteringsverktyg!$D$33="Ja",Diskonteringsverktyg!$D$34="Nej"),$E116*Diskonteringsverktyg!$D$31*Diskonteringsverktyg!$D$32,IF(AND(Diskonteringsverktyg!$D$33="Nej",Diskonteringsverktyg!$D$34="Ja"),$D116*Diskonteringsverktyg!$D$31*Diskonteringsverktyg!$D$32,Diskonteringsverktyg!$D$31*Diskonteringsverktyg!$D$32)))</f>
        <v>0</v>
      </c>
      <c r="H116" s="23">
        <f>IF(AND(Diskonteringsverktyg!$D$37="Ja",Diskonteringsverktyg!$D$38="Ja"),$D116*$E116*Diskonteringsverktyg!$D$35*Diskonteringsverktyg!$D$36,IF(AND(Diskonteringsverktyg!$D$37="Ja",Diskonteringsverktyg!$D$38="Nej"),$E116*Diskonteringsverktyg!$D$35*Diskonteringsverktyg!$D$36,IF(AND(Diskonteringsverktyg!$D$37="Nej",Diskonteringsverktyg!$D$38="Ja"),$D116*Diskonteringsverktyg!$D$35*Diskonteringsverktyg!$D$36,Diskonteringsverktyg!$D$35*Diskonteringsverktyg!$D$36)))</f>
        <v>0</v>
      </c>
      <c r="I116" s="23">
        <f>IF(AND(Diskonteringsverktyg!$D$41="Ja",Diskonteringsverktyg!$D$42="Ja"),$D116*$E116*Diskonteringsverktyg!$D$39*Diskonteringsverktyg!$D$40,IF(AND(Diskonteringsverktyg!$D$41="Ja",Diskonteringsverktyg!$D$42="Nej"),$E116*Diskonteringsverktyg!$D$39*Diskonteringsverktyg!$D$40,IF(AND(Diskonteringsverktyg!$D$41="Nej",Diskonteringsverktyg!$D$42="Ja"),$D116*Diskonteringsverktyg!$D$39*Diskonteringsverktyg!$D$40,Diskonteringsverktyg!$D$39*Diskonteringsverktyg!$D$40)))</f>
        <v>0</v>
      </c>
      <c r="J116" s="23">
        <f>IF(AND(Diskonteringsverktyg!$D$45="Ja",Diskonteringsverktyg!$D$46="Ja"),$D116*$E116*Diskonteringsverktyg!$D$43*Diskonteringsverktyg!$D$44,IF(AND(Diskonteringsverktyg!$D$45="Ja",Diskonteringsverktyg!$D$46="Nej"),$E116*Diskonteringsverktyg!$D$43*Diskonteringsverktyg!$D$44,IF(AND(Diskonteringsverktyg!$D$45="Nej",Diskonteringsverktyg!$D$46="Ja"),$D116*Diskonteringsverktyg!$D$43*Diskonteringsverktyg!$D$44,Diskonteringsverktyg!$D$43*Diskonteringsverktyg!$D$44)))</f>
        <v>0</v>
      </c>
      <c r="K116" s="23">
        <f t="shared" si="9"/>
        <v>12108.149225460464</v>
      </c>
      <c r="L116" s="23">
        <f t="shared" si="10"/>
        <v>275.19420700029065</v>
      </c>
      <c r="M116" s="23">
        <f>IF((B116&lt;=Diskonteringsverktyg!$D$16),Diskonteringsverktyg!$D$50*Diskonteringsverktyg!$D$14^(B116-Diskonteringsverktyg!$D$11),M115)</f>
        <v>2481.1008426959897</v>
      </c>
      <c r="N116" s="23">
        <f t="shared" si="11"/>
        <v>56.390499173709188</v>
      </c>
      <c r="O116" s="30"/>
    </row>
    <row r="117" spans="1:15" x14ac:dyDescent="0.2">
      <c r="A117" s="97">
        <v>111</v>
      </c>
      <c r="B117" s="88">
        <f>Diskonteringsverktyg!$D$12+A117</f>
        <v>2139</v>
      </c>
      <c r="C117" s="22">
        <f>1/(Diskonteringsverktyg!$D$9)^(B117-Diskonteringsverktyg!$D$10)</f>
        <v>2.1959435563157541E-2</v>
      </c>
      <c r="D117" s="21">
        <f>IF(B117&lt;=Diskonteringsverktyg!$D$15,Diskonteringsverktyg!$D$21^(B117-Diskonteringsverktyg!$D$24),IF(AND(B117&gt;Diskonteringsverktyg!$D$15,B117&lt;=Diskonteringsverktyg!$D$16),Diskonteringsverktyg!$D$21^(Diskonteringsverktyg!$D$15-Diskonteringsverktyg!$D$24)*Diskonteringsverktyg!$D$22^(B117-Diskonteringsverktyg!$D$15),D116))</f>
        <v>1.4311229737306663</v>
      </c>
      <c r="E117" s="21">
        <f>IF(B117&lt;=Diskonteringsverktyg!$D$16,(Diskonteringsverktyg!$D$13)^(B117-Diskonteringsverktyg!$D$23),E116)</f>
        <v>1.6921186295957242</v>
      </c>
      <c r="F117" s="23">
        <f>IF(AND(Diskonteringsverktyg!$D$29="Ja",Diskonteringsverktyg!$D$30="Ja"),$D117*$E117*Diskonteringsverktyg!$D$27*Diskonteringsverktyg!$D$28,IF(AND(Diskonteringsverktyg!$D$29="Ja",Diskonteringsverktyg!$D$30="Nej"),$E117*Diskonteringsverktyg!$D$27*Diskonteringsverktyg!$D$28,IF(AND(Diskonteringsverktyg!$D$29="Nej",Diskonteringsverktyg!$D$30="Ja"),$D117*Diskonteringsverktyg!$D$27*Diskonteringsverktyg!$D$28,Diskonteringsverktyg!$D$27*Diskonteringsverktyg!$D$28)))</f>
        <v>12108.149225460464</v>
      </c>
      <c r="G117" s="23">
        <f>IF(AND(Diskonteringsverktyg!$D$33="Ja",Diskonteringsverktyg!$D$34="Ja"),$D117*$E117*Diskonteringsverktyg!$D$31*Diskonteringsverktyg!$D$32,IF(AND(Diskonteringsverktyg!$D$33="Ja",Diskonteringsverktyg!$D$34="Nej"),$E117*Diskonteringsverktyg!$D$31*Diskonteringsverktyg!$D$32,IF(AND(Diskonteringsverktyg!$D$33="Nej",Diskonteringsverktyg!$D$34="Ja"),$D117*Diskonteringsverktyg!$D$31*Diskonteringsverktyg!$D$32,Diskonteringsverktyg!$D$31*Diskonteringsverktyg!$D$32)))</f>
        <v>0</v>
      </c>
      <c r="H117" s="23">
        <f>IF(AND(Diskonteringsverktyg!$D$37="Ja",Diskonteringsverktyg!$D$38="Ja"),$D117*$E117*Diskonteringsverktyg!$D$35*Diskonteringsverktyg!$D$36,IF(AND(Diskonteringsverktyg!$D$37="Ja",Diskonteringsverktyg!$D$38="Nej"),$E117*Diskonteringsverktyg!$D$35*Diskonteringsverktyg!$D$36,IF(AND(Diskonteringsverktyg!$D$37="Nej",Diskonteringsverktyg!$D$38="Ja"),$D117*Diskonteringsverktyg!$D$35*Diskonteringsverktyg!$D$36,Diskonteringsverktyg!$D$35*Diskonteringsverktyg!$D$36)))</f>
        <v>0</v>
      </c>
      <c r="I117" s="23">
        <f>IF(AND(Diskonteringsverktyg!$D$41="Ja",Diskonteringsverktyg!$D$42="Ja"),$D117*$E117*Diskonteringsverktyg!$D$39*Diskonteringsverktyg!$D$40,IF(AND(Diskonteringsverktyg!$D$41="Ja",Diskonteringsverktyg!$D$42="Nej"),$E117*Diskonteringsverktyg!$D$39*Diskonteringsverktyg!$D$40,IF(AND(Diskonteringsverktyg!$D$41="Nej",Diskonteringsverktyg!$D$42="Ja"),$D117*Diskonteringsverktyg!$D$39*Diskonteringsverktyg!$D$40,Diskonteringsverktyg!$D$39*Diskonteringsverktyg!$D$40)))</f>
        <v>0</v>
      </c>
      <c r="J117" s="23">
        <f>IF(AND(Diskonteringsverktyg!$D$45="Ja",Diskonteringsverktyg!$D$46="Ja"),$D117*$E117*Diskonteringsverktyg!$D$43*Diskonteringsverktyg!$D$44,IF(AND(Diskonteringsverktyg!$D$45="Ja",Diskonteringsverktyg!$D$46="Nej"),$E117*Diskonteringsverktyg!$D$43*Diskonteringsverktyg!$D$44,IF(AND(Diskonteringsverktyg!$D$45="Nej",Diskonteringsverktyg!$D$46="Ja"),$D117*Diskonteringsverktyg!$D$43*Diskonteringsverktyg!$D$44,Diskonteringsverktyg!$D$43*Diskonteringsverktyg!$D$44)))</f>
        <v>0</v>
      </c>
      <c r="K117" s="23">
        <f t="shared" si="9"/>
        <v>12108.149225460464</v>
      </c>
      <c r="L117" s="23">
        <f t="shared" si="10"/>
        <v>265.88812270559492</v>
      </c>
      <c r="M117" s="23">
        <f>IF((B117&lt;=Diskonteringsverktyg!$D$16),Diskonteringsverktyg!$D$50*Diskonteringsverktyg!$D$14^(B117-Diskonteringsverktyg!$D$11),M116)</f>
        <v>2481.1008426959897</v>
      </c>
      <c r="N117" s="23">
        <f t="shared" si="11"/>
        <v>54.483574080878462</v>
      </c>
      <c r="O117" s="30"/>
    </row>
    <row r="118" spans="1:15" x14ac:dyDescent="0.2">
      <c r="A118" s="97">
        <v>112</v>
      </c>
      <c r="B118" s="88">
        <f>Diskonteringsverktyg!$D$12+A118</f>
        <v>2140</v>
      </c>
      <c r="C118" s="22">
        <f>1/(Diskonteringsverktyg!$D$9)^(B118-Diskonteringsverktyg!$D$10)</f>
        <v>2.1216845954741589E-2</v>
      </c>
      <c r="D118" s="21">
        <f>IF(B118&lt;=Diskonteringsverktyg!$D$15,Diskonteringsverktyg!$D$21^(B118-Diskonteringsverktyg!$D$24),IF(AND(B118&gt;Diskonteringsverktyg!$D$15,B118&lt;=Diskonteringsverktyg!$D$16),Diskonteringsverktyg!$D$21^(Diskonteringsverktyg!$D$15-Diskonteringsverktyg!$D$24)*Diskonteringsverktyg!$D$22^(B118-Diskonteringsverktyg!$D$15),D117))</f>
        <v>1.4311229737306663</v>
      </c>
      <c r="E118" s="21">
        <f>IF(B118&lt;=Diskonteringsverktyg!$D$16,(Diskonteringsverktyg!$D$13)^(B118-Diskonteringsverktyg!$D$23),E117)</f>
        <v>1.6921186295957242</v>
      </c>
      <c r="F118" s="23">
        <f>IF(AND(Diskonteringsverktyg!$D$29="Ja",Diskonteringsverktyg!$D$30="Ja"),$D118*$E118*Diskonteringsverktyg!$D$27*Diskonteringsverktyg!$D$28,IF(AND(Diskonteringsverktyg!$D$29="Ja",Diskonteringsverktyg!$D$30="Nej"),$E118*Diskonteringsverktyg!$D$27*Diskonteringsverktyg!$D$28,IF(AND(Diskonteringsverktyg!$D$29="Nej",Diskonteringsverktyg!$D$30="Ja"),$D118*Diskonteringsverktyg!$D$27*Diskonteringsverktyg!$D$28,Diskonteringsverktyg!$D$27*Diskonteringsverktyg!$D$28)))</f>
        <v>12108.149225460464</v>
      </c>
      <c r="G118" s="23">
        <f>IF(AND(Diskonteringsverktyg!$D$33="Ja",Diskonteringsverktyg!$D$34="Ja"),$D118*$E118*Diskonteringsverktyg!$D$31*Diskonteringsverktyg!$D$32,IF(AND(Diskonteringsverktyg!$D$33="Ja",Diskonteringsverktyg!$D$34="Nej"),$E118*Diskonteringsverktyg!$D$31*Diskonteringsverktyg!$D$32,IF(AND(Diskonteringsverktyg!$D$33="Nej",Diskonteringsverktyg!$D$34="Ja"),$D118*Diskonteringsverktyg!$D$31*Diskonteringsverktyg!$D$32,Diskonteringsverktyg!$D$31*Diskonteringsverktyg!$D$32)))</f>
        <v>0</v>
      </c>
      <c r="H118" s="23">
        <f>IF(AND(Diskonteringsverktyg!$D$37="Ja",Diskonteringsverktyg!$D$38="Ja"),$D118*$E118*Diskonteringsverktyg!$D$35*Diskonteringsverktyg!$D$36,IF(AND(Diskonteringsverktyg!$D$37="Ja",Diskonteringsverktyg!$D$38="Nej"),$E118*Diskonteringsverktyg!$D$35*Diskonteringsverktyg!$D$36,IF(AND(Diskonteringsverktyg!$D$37="Nej",Diskonteringsverktyg!$D$38="Ja"),$D118*Diskonteringsverktyg!$D$35*Diskonteringsverktyg!$D$36,Diskonteringsverktyg!$D$35*Diskonteringsverktyg!$D$36)))</f>
        <v>0</v>
      </c>
      <c r="I118" s="23">
        <f>IF(AND(Diskonteringsverktyg!$D$41="Ja",Diskonteringsverktyg!$D$42="Ja"),$D118*$E118*Diskonteringsverktyg!$D$39*Diskonteringsverktyg!$D$40,IF(AND(Diskonteringsverktyg!$D$41="Ja",Diskonteringsverktyg!$D$42="Nej"),$E118*Diskonteringsverktyg!$D$39*Diskonteringsverktyg!$D$40,IF(AND(Diskonteringsverktyg!$D$41="Nej",Diskonteringsverktyg!$D$42="Ja"),$D118*Diskonteringsverktyg!$D$39*Diskonteringsverktyg!$D$40,Diskonteringsverktyg!$D$39*Diskonteringsverktyg!$D$40)))</f>
        <v>0</v>
      </c>
      <c r="J118" s="23">
        <f>IF(AND(Diskonteringsverktyg!$D$45="Ja",Diskonteringsverktyg!$D$46="Ja"),$D118*$E118*Diskonteringsverktyg!$D$43*Diskonteringsverktyg!$D$44,IF(AND(Diskonteringsverktyg!$D$45="Ja",Diskonteringsverktyg!$D$46="Nej"),$E118*Diskonteringsverktyg!$D$43*Diskonteringsverktyg!$D$44,IF(AND(Diskonteringsverktyg!$D$45="Nej",Diskonteringsverktyg!$D$46="Ja"),$D118*Diskonteringsverktyg!$D$43*Diskonteringsverktyg!$D$44,Diskonteringsverktyg!$D$43*Diskonteringsverktyg!$D$44)))</f>
        <v>0</v>
      </c>
      <c r="K118" s="23">
        <f t="shared" si="9"/>
        <v>12108.149225460464</v>
      </c>
      <c r="L118" s="23">
        <f t="shared" si="10"/>
        <v>256.89673691361833</v>
      </c>
      <c r="M118" s="23">
        <f>IF((B118&lt;=Diskonteringsverktyg!$D$16),Diskonteringsverktyg!$D$50*Diskonteringsverktyg!$D$14^(B118-Diskonteringsverktyg!$D$11),M117)</f>
        <v>2481.1008426959897</v>
      </c>
      <c r="N118" s="23">
        <f t="shared" si="11"/>
        <v>52.641134377660357</v>
      </c>
      <c r="O118" s="30"/>
    </row>
    <row r="119" spans="1:15" x14ac:dyDescent="0.2">
      <c r="A119" s="97">
        <v>113</v>
      </c>
      <c r="B119" s="88">
        <f>Diskonteringsverktyg!$D$12+A119</f>
        <v>2141</v>
      </c>
      <c r="C119" s="22">
        <f>1/(Diskonteringsverktyg!$D$9)^(B119-Diskonteringsverktyg!$D$10)</f>
        <v>2.0499368072214096E-2</v>
      </c>
      <c r="D119" s="21">
        <f>IF(B119&lt;=Diskonteringsverktyg!$D$15,Diskonteringsverktyg!$D$21^(B119-Diskonteringsverktyg!$D$24),IF(AND(B119&gt;Diskonteringsverktyg!$D$15,B119&lt;=Diskonteringsverktyg!$D$16),Diskonteringsverktyg!$D$21^(Diskonteringsverktyg!$D$15-Diskonteringsverktyg!$D$24)*Diskonteringsverktyg!$D$22^(B119-Diskonteringsverktyg!$D$15),D118))</f>
        <v>1.4311229737306663</v>
      </c>
      <c r="E119" s="21">
        <f>IF(B119&lt;=Diskonteringsverktyg!$D$16,(Diskonteringsverktyg!$D$13)^(B119-Diskonteringsverktyg!$D$23),E118)</f>
        <v>1.6921186295957242</v>
      </c>
      <c r="F119" s="23">
        <f>IF(AND(Diskonteringsverktyg!$D$29="Ja",Diskonteringsverktyg!$D$30="Ja"),$D119*$E119*Diskonteringsverktyg!$D$27*Diskonteringsverktyg!$D$28,IF(AND(Diskonteringsverktyg!$D$29="Ja",Diskonteringsverktyg!$D$30="Nej"),$E119*Diskonteringsverktyg!$D$27*Diskonteringsverktyg!$D$28,IF(AND(Diskonteringsverktyg!$D$29="Nej",Diskonteringsverktyg!$D$30="Ja"),$D119*Diskonteringsverktyg!$D$27*Diskonteringsverktyg!$D$28,Diskonteringsverktyg!$D$27*Diskonteringsverktyg!$D$28)))</f>
        <v>12108.149225460464</v>
      </c>
      <c r="G119" s="23">
        <f>IF(AND(Diskonteringsverktyg!$D$33="Ja",Diskonteringsverktyg!$D$34="Ja"),$D119*$E119*Diskonteringsverktyg!$D$31*Diskonteringsverktyg!$D$32,IF(AND(Diskonteringsverktyg!$D$33="Ja",Diskonteringsverktyg!$D$34="Nej"),$E119*Diskonteringsverktyg!$D$31*Diskonteringsverktyg!$D$32,IF(AND(Diskonteringsverktyg!$D$33="Nej",Diskonteringsverktyg!$D$34="Ja"),$D119*Diskonteringsverktyg!$D$31*Diskonteringsverktyg!$D$32,Diskonteringsverktyg!$D$31*Diskonteringsverktyg!$D$32)))</f>
        <v>0</v>
      </c>
      <c r="H119" s="23">
        <f>IF(AND(Diskonteringsverktyg!$D$37="Ja",Diskonteringsverktyg!$D$38="Ja"),$D119*$E119*Diskonteringsverktyg!$D$35*Diskonteringsverktyg!$D$36,IF(AND(Diskonteringsverktyg!$D$37="Ja",Diskonteringsverktyg!$D$38="Nej"),$E119*Diskonteringsverktyg!$D$35*Diskonteringsverktyg!$D$36,IF(AND(Diskonteringsverktyg!$D$37="Nej",Diskonteringsverktyg!$D$38="Ja"),$D119*Diskonteringsverktyg!$D$35*Diskonteringsverktyg!$D$36,Diskonteringsverktyg!$D$35*Diskonteringsverktyg!$D$36)))</f>
        <v>0</v>
      </c>
      <c r="I119" s="23">
        <f>IF(AND(Diskonteringsverktyg!$D$41="Ja",Diskonteringsverktyg!$D$42="Ja"),$D119*$E119*Diskonteringsverktyg!$D$39*Diskonteringsverktyg!$D$40,IF(AND(Diskonteringsverktyg!$D$41="Ja",Diskonteringsverktyg!$D$42="Nej"),$E119*Diskonteringsverktyg!$D$39*Diskonteringsverktyg!$D$40,IF(AND(Diskonteringsverktyg!$D$41="Nej",Diskonteringsverktyg!$D$42="Ja"),$D119*Diskonteringsverktyg!$D$39*Diskonteringsverktyg!$D$40,Diskonteringsverktyg!$D$39*Diskonteringsverktyg!$D$40)))</f>
        <v>0</v>
      </c>
      <c r="J119" s="23">
        <f>IF(AND(Diskonteringsverktyg!$D$45="Ja",Diskonteringsverktyg!$D$46="Ja"),$D119*$E119*Diskonteringsverktyg!$D$43*Diskonteringsverktyg!$D$44,IF(AND(Diskonteringsverktyg!$D$45="Ja",Diskonteringsverktyg!$D$46="Nej"),$E119*Diskonteringsverktyg!$D$43*Diskonteringsverktyg!$D$44,IF(AND(Diskonteringsverktyg!$D$45="Nej",Diskonteringsverktyg!$D$46="Ja"),$D119*Diskonteringsverktyg!$D$43*Diskonteringsverktyg!$D$44,Diskonteringsverktyg!$D$43*Diskonteringsverktyg!$D$44)))</f>
        <v>0</v>
      </c>
      <c r="K119" s="23">
        <f t="shared" si="9"/>
        <v>12108.149225460464</v>
      </c>
      <c r="L119" s="23">
        <f t="shared" si="10"/>
        <v>248.20940764600806</v>
      </c>
      <c r="M119" s="23">
        <f>IF((B119&lt;=Diskonteringsverktyg!$D$16),Diskonteringsverktyg!$D$50*Diskonteringsverktyg!$D$14^(B119-Diskonteringsverktyg!$D$11),M118)</f>
        <v>2481.1008426959897</v>
      </c>
      <c r="N119" s="23">
        <f t="shared" si="11"/>
        <v>50.860999398705658</v>
      </c>
      <c r="O119" s="30"/>
    </row>
    <row r="120" spans="1:15" ht="13.5" thickBot="1" x14ac:dyDescent="0.25">
      <c r="A120" s="99">
        <v>114</v>
      </c>
      <c r="B120" s="94">
        <f>Diskonteringsverktyg!$D$12+A120</f>
        <v>2142</v>
      </c>
      <c r="C120" s="32">
        <f>1/(Diskonteringsverktyg!$D$9)^(B120-Diskonteringsverktyg!$D$10)</f>
        <v>1.9806152726776903E-2</v>
      </c>
      <c r="D120" s="33">
        <f>IF(B120&lt;=Diskonteringsverktyg!$D$15,Diskonteringsverktyg!$D$21^(B120-Diskonteringsverktyg!$D$24),IF(AND(B120&gt;Diskonteringsverktyg!$D$15,B120&lt;=Diskonteringsverktyg!$D$16),Diskonteringsverktyg!$D$21^(Diskonteringsverktyg!$D$15-Diskonteringsverktyg!$D$24)*Diskonteringsverktyg!$D$22^(B120-Diskonteringsverktyg!$D$15),D119))</f>
        <v>1.4311229737306663</v>
      </c>
      <c r="E120" s="33">
        <f>IF(B120&lt;=Diskonteringsverktyg!$D$16,(Diskonteringsverktyg!$D$13)^(B120-Diskonteringsverktyg!$D$23),E119)</f>
        <v>1.6921186295957242</v>
      </c>
      <c r="F120" s="68">
        <f>IF(AND(Diskonteringsverktyg!$D$29="Ja",Diskonteringsverktyg!$D$30="Ja"),$D120*$E120*Diskonteringsverktyg!$D$27*Diskonteringsverktyg!$D$28,IF(AND(Diskonteringsverktyg!$D$29="Ja",Diskonteringsverktyg!$D$30="Nej"),$E120*Diskonteringsverktyg!$D$27*Diskonteringsverktyg!$D$28,IF(AND(Diskonteringsverktyg!$D$29="Nej",Diskonteringsverktyg!$D$30="Ja"),$D120*Diskonteringsverktyg!$D$27*Diskonteringsverktyg!$D$28,Diskonteringsverktyg!$D$27*Diskonteringsverktyg!$D$28)))</f>
        <v>12108.149225460464</v>
      </c>
      <c r="G120" s="68">
        <f>IF(AND(Diskonteringsverktyg!$D$33="Ja",Diskonteringsverktyg!$D$34="Ja"),$D120*$E120*Diskonteringsverktyg!$D$31*Diskonteringsverktyg!$D$32,IF(AND(Diskonteringsverktyg!$D$33="Ja",Diskonteringsverktyg!$D$34="Nej"),$E120*Diskonteringsverktyg!$D$31*Diskonteringsverktyg!$D$32,IF(AND(Diskonteringsverktyg!$D$33="Nej",Diskonteringsverktyg!$D$34="Ja"),$D120*Diskonteringsverktyg!$D$31*Diskonteringsverktyg!$D$32,Diskonteringsverktyg!$D$31*Diskonteringsverktyg!$D$32)))</f>
        <v>0</v>
      </c>
      <c r="H120" s="68">
        <f>IF(AND(Diskonteringsverktyg!$D$37="Ja",Diskonteringsverktyg!$D$38="Ja"),$D120*$E120*Diskonteringsverktyg!$D$35*Diskonteringsverktyg!$D$36,IF(AND(Diskonteringsverktyg!$D$37="Ja",Diskonteringsverktyg!$D$38="Nej"),$E120*Diskonteringsverktyg!$D$35*Diskonteringsverktyg!$D$36,IF(AND(Diskonteringsverktyg!$D$37="Nej",Diskonteringsverktyg!$D$38="Ja"),$D120*Diskonteringsverktyg!$D$35*Diskonteringsverktyg!$D$36,Diskonteringsverktyg!$D$35*Diskonteringsverktyg!$D$36)))</f>
        <v>0</v>
      </c>
      <c r="I120" s="68">
        <f>IF(AND(Diskonteringsverktyg!$D$41="Ja",Diskonteringsverktyg!$D$42="Ja"),$D120*$E120*Diskonteringsverktyg!$D$39*Diskonteringsverktyg!$D$40,IF(AND(Diskonteringsverktyg!$D$41="Ja",Diskonteringsverktyg!$D$42="Nej"),$E120*Diskonteringsverktyg!$D$39*Diskonteringsverktyg!$D$40,IF(AND(Diskonteringsverktyg!$D$41="Nej",Diskonteringsverktyg!$D$42="Ja"),$D120*Diskonteringsverktyg!$D$39*Diskonteringsverktyg!$D$40,Diskonteringsverktyg!$D$39*Diskonteringsverktyg!$D$40)))</f>
        <v>0</v>
      </c>
      <c r="J120" s="68">
        <f>IF(AND(Diskonteringsverktyg!$D$45="Ja",Diskonteringsverktyg!$D$46="Ja"),$D120*$E120*Diskonteringsverktyg!$D$43*Diskonteringsverktyg!$D$44,IF(AND(Diskonteringsverktyg!$D$45="Ja",Diskonteringsverktyg!$D$46="Nej"),$E120*Diskonteringsverktyg!$D$43*Diskonteringsverktyg!$D$44,IF(AND(Diskonteringsverktyg!$D$45="Nej",Diskonteringsverktyg!$D$46="Ja"),$D120*Diskonteringsverktyg!$D$43*Diskonteringsverktyg!$D$44,Diskonteringsverktyg!$D$43*Diskonteringsverktyg!$D$44)))</f>
        <v>0</v>
      </c>
      <c r="K120" s="68">
        <f t="shared" si="9"/>
        <v>12108.149225460464</v>
      </c>
      <c r="L120" s="68">
        <f t="shared" si="10"/>
        <v>239.81585279807541</v>
      </c>
      <c r="M120" s="68">
        <f>IF((B120&lt;=Diskonteringsverktyg!$D$16),Diskonteringsverktyg!$D$50*Diskonteringsverktyg!$D$14^(B120-Diskonteringsverktyg!$D$11),M119)</f>
        <v>2481.1008426959897</v>
      </c>
      <c r="N120" s="68">
        <f t="shared" si="11"/>
        <v>49.141062220971648</v>
      </c>
      <c r="O120" s="69"/>
    </row>
    <row r="121" spans="1:15" x14ac:dyDescent="0.2">
      <c r="A121" s="5"/>
      <c r="B121" s="5"/>
      <c r="C121" s="5"/>
      <c r="D121" s="5"/>
      <c r="E121" s="7"/>
      <c r="F121" s="7"/>
      <c r="G121" s="7"/>
      <c r="H121" s="7"/>
      <c r="I121" s="7"/>
      <c r="J121" s="7"/>
      <c r="K121" s="7"/>
      <c r="L121" s="5"/>
      <c r="M121" s="7"/>
      <c r="N121" s="7"/>
      <c r="O121" s="7"/>
    </row>
  </sheetData>
  <conditionalFormatting sqref="C4">
    <cfRule type="expression" priority="1">
      <formula>IF(XFB29&gt;$D$23,TRUE,FALSE)</formula>
    </cfRule>
  </conditionalFormatting>
  <conditionalFormatting sqref="C4">
    <cfRule type="expression" priority="2">
      <formula>IF(#REF!&gt;$D$23,TRUE,FALSE)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592AC-5B02-48C5-86C9-4EDF02AA6B5D}">
  <dimension ref="B1:K37"/>
  <sheetViews>
    <sheetView topLeftCell="A7" workbookViewId="0">
      <selection activeCell="F13" sqref="F13"/>
    </sheetView>
  </sheetViews>
  <sheetFormatPr defaultColWidth="8.85546875" defaultRowHeight="12.75" x14ac:dyDescent="0.2"/>
  <cols>
    <col min="1" max="1" width="5.7109375" style="104" customWidth="1"/>
    <col min="2" max="2" width="3.42578125" style="104" customWidth="1"/>
    <col min="3" max="3" width="45.42578125" style="104" customWidth="1"/>
    <col min="4" max="4" width="4.5703125" style="104" customWidth="1"/>
    <col min="5" max="5" width="16.7109375" style="104" customWidth="1"/>
    <col min="6" max="6" width="12.85546875" style="104" customWidth="1"/>
    <col min="7" max="7" width="3.28515625" style="104" customWidth="1"/>
    <col min="8" max="9" width="8.85546875" style="104"/>
    <col min="10" max="10" width="9.85546875" style="104" bestFit="1" customWidth="1"/>
    <col min="11" max="11" width="8.85546875" style="104"/>
    <col min="12" max="12" width="9.85546875" style="104" bestFit="1" customWidth="1"/>
    <col min="13" max="13" width="8.85546875" style="104"/>
    <col min="14" max="14" width="10.140625" style="104" bestFit="1" customWidth="1"/>
    <col min="15" max="16384" width="8.85546875" style="104"/>
  </cols>
  <sheetData>
    <row r="1" spans="2:10" ht="13.5" thickBot="1" x14ac:dyDescent="0.25"/>
    <row r="2" spans="2:10" x14ac:dyDescent="0.2">
      <c r="B2" s="105"/>
      <c r="C2" s="106"/>
      <c r="D2" s="106"/>
      <c r="E2" s="106"/>
      <c r="F2" s="106"/>
      <c r="G2" s="107"/>
    </row>
    <row r="3" spans="2:10" ht="26.25" x14ac:dyDescent="0.2">
      <c r="B3" s="108"/>
      <c r="C3" s="276" t="s">
        <v>62</v>
      </c>
      <c r="D3" s="276"/>
      <c r="E3" s="276"/>
      <c r="F3" s="276"/>
      <c r="G3" s="109"/>
    </row>
    <row r="4" spans="2:10" x14ac:dyDescent="0.2">
      <c r="B4" s="108"/>
      <c r="C4" s="110"/>
      <c r="D4" s="111"/>
      <c r="E4" s="112"/>
      <c r="F4" s="112"/>
      <c r="G4" s="109"/>
    </row>
    <row r="5" spans="2:10" ht="12.75" customHeight="1" x14ac:dyDescent="0.2">
      <c r="B5" s="108"/>
      <c r="C5" s="277" t="s">
        <v>63</v>
      </c>
      <c r="D5" s="277"/>
      <c r="E5" s="277"/>
      <c r="G5" s="109"/>
      <c r="H5" s="113"/>
    </row>
    <row r="6" spans="2:10" ht="12.75" customHeight="1" x14ac:dyDescent="0.2">
      <c r="B6" s="108"/>
      <c r="C6" s="277" t="s">
        <v>64</v>
      </c>
      <c r="D6" s="277"/>
      <c r="E6" s="277"/>
      <c r="G6" s="109"/>
      <c r="H6" s="113"/>
    </row>
    <row r="7" spans="2:10" x14ac:dyDescent="0.2">
      <c r="B7" s="108"/>
      <c r="G7" s="109"/>
    </row>
    <row r="8" spans="2:10" x14ac:dyDescent="0.2">
      <c r="B8" s="108"/>
      <c r="G8" s="109"/>
    </row>
    <row r="9" spans="2:10" ht="15.75" thickBot="1" x14ac:dyDescent="0.3">
      <c r="B9" s="108"/>
      <c r="C9" s="114" t="s">
        <v>65</v>
      </c>
      <c r="D9" s="110"/>
      <c r="G9" s="109"/>
    </row>
    <row r="10" spans="2:10" x14ac:dyDescent="0.2">
      <c r="B10" s="108"/>
      <c r="C10" s="115" t="s">
        <v>66</v>
      </c>
      <c r="D10" s="116"/>
      <c r="E10" s="117"/>
      <c r="F10" s="255">
        <f>Diskonteringsverktyg!D53</f>
        <v>84500</v>
      </c>
      <c r="G10" s="109"/>
    </row>
    <row r="11" spans="2:10" x14ac:dyDescent="0.2">
      <c r="B11" s="108"/>
      <c r="C11" s="278" t="s">
        <v>67</v>
      </c>
      <c r="D11" s="279"/>
      <c r="E11" s="280"/>
      <c r="F11" s="256" t="str">
        <f>Diskonteringsverktyg!D56</f>
        <v>2026-01</v>
      </c>
      <c r="G11" s="109"/>
    </row>
    <row r="12" spans="2:10" x14ac:dyDescent="0.2">
      <c r="B12" s="108"/>
      <c r="C12" s="118" t="s">
        <v>68</v>
      </c>
      <c r="D12" s="119"/>
      <c r="E12" s="120"/>
      <c r="F12" s="121" t="str">
        <f>Diskonteringsverktyg!D55</f>
        <v>väg</v>
      </c>
      <c r="G12" s="109"/>
    </row>
    <row r="13" spans="2:10" x14ac:dyDescent="0.2">
      <c r="B13" s="108"/>
      <c r="C13" s="122" t="s">
        <v>69</v>
      </c>
      <c r="D13" s="119"/>
      <c r="E13" s="120"/>
      <c r="F13" s="123">
        <f>IF(F12="väg",SUMIF('Index och uppräkningsfaktorer'!$B:$B,DATE(LEFT(F11,4),RIGHT(F11,2),1),'Index och uppräkningsfaktorer'!$D:$D),IF(F12="järnväg",SUMIF('Index och uppräkningsfaktorer'!$B:$B,DATE(LEFT(F11,4),RIGHT(F11,2),1),'Index och uppräkningsfaktorer'!$C:$C),IF(F12="sjöfart",SUMIF('Index och uppräkningsfaktorer'!$B:$B,DATE(LEFT(F11,4),RIGHT(F11,2),1),'Index och uppräkningsfaktorer'!$E:$E),0)))</f>
        <v>315.88748590909557</v>
      </c>
      <c r="G13" s="109"/>
    </row>
    <row r="14" spans="2:10" ht="13.5" thickBot="1" x14ac:dyDescent="0.25">
      <c r="B14" s="108"/>
      <c r="C14" s="124" t="s">
        <v>70</v>
      </c>
      <c r="D14" s="125"/>
      <c r="E14" s="126"/>
      <c r="F14" s="127">
        <f>IF(F12="väg",'Index och uppräkningsfaktorer'!D403,IF(F12="järnväg",'Index och uppräkningsfaktorer'!C403,IF(F12="sjöfart",'Index och uppräkningsfaktorer'!E403,0)))</f>
        <v>323.06037920953383</v>
      </c>
      <c r="G14" s="109"/>
    </row>
    <row r="15" spans="2:10" ht="13.5" thickBot="1" x14ac:dyDescent="0.25">
      <c r="B15" s="108"/>
      <c r="C15" s="124" t="s">
        <v>71</v>
      </c>
      <c r="D15" s="125"/>
      <c r="E15" s="126"/>
      <c r="F15" s="128">
        <f>IF(F13=0,"Index finns ej",F10*(F14/F13))</f>
        <v>86418.751172249526</v>
      </c>
      <c r="G15" s="109"/>
      <c r="J15" s="129"/>
    </row>
    <row r="16" spans="2:10" ht="13.5" customHeight="1" x14ac:dyDescent="0.2">
      <c r="B16" s="108"/>
      <c r="G16" s="109"/>
    </row>
    <row r="17" spans="2:7" ht="15.75" thickBot="1" x14ac:dyDescent="0.3">
      <c r="B17" s="108"/>
      <c r="C17" s="130" t="s">
        <v>72</v>
      </c>
      <c r="D17" s="110"/>
      <c r="G17" s="109"/>
    </row>
    <row r="18" spans="2:7" x14ac:dyDescent="0.2">
      <c r="B18" s="108"/>
      <c r="C18" s="131" t="s">
        <v>73</v>
      </c>
      <c r="D18" s="116"/>
      <c r="E18" s="117"/>
      <c r="F18" s="132">
        <f>F15</f>
        <v>86418.751172249526</v>
      </c>
      <c r="G18" s="109"/>
    </row>
    <row r="19" spans="2:7" x14ac:dyDescent="0.2">
      <c r="B19" s="108"/>
      <c r="C19" s="118" t="s">
        <v>74</v>
      </c>
      <c r="D19" s="119"/>
      <c r="E19" s="120"/>
      <c r="F19" s="133">
        <f>'Index och uppräkningsfaktorer'!F403</f>
        <v>204.48310640443771</v>
      </c>
      <c r="G19" s="109"/>
    </row>
    <row r="20" spans="2:7" ht="13.5" thickBot="1" x14ac:dyDescent="0.25">
      <c r="B20" s="108"/>
      <c r="C20" s="134" t="s">
        <v>75</v>
      </c>
      <c r="D20" s="125"/>
      <c r="E20" s="126"/>
      <c r="F20" s="133">
        <f>AVERAGE('Index och uppräkningsfaktorer'!F350:F361)</f>
        <v>168.56278366111954</v>
      </c>
      <c r="G20" s="109"/>
    </row>
    <row r="21" spans="2:7" ht="13.5" thickBot="1" x14ac:dyDescent="0.25">
      <c r="B21" s="108"/>
      <c r="C21" s="134" t="s">
        <v>76</v>
      </c>
      <c r="D21" s="125"/>
      <c r="E21" s="126"/>
      <c r="F21" s="135">
        <f>IF(F18="Index finns ej",F18,F18*(F20/F19))</f>
        <v>71238.086677442436</v>
      </c>
      <c r="G21" s="109"/>
    </row>
    <row r="22" spans="2:7" x14ac:dyDescent="0.2">
      <c r="B22" s="108"/>
      <c r="G22" s="109"/>
    </row>
    <row r="23" spans="2:7" ht="15.75" thickBot="1" x14ac:dyDescent="0.3">
      <c r="B23" s="108"/>
      <c r="C23" s="130" t="s">
        <v>77</v>
      </c>
      <c r="D23" s="110"/>
      <c r="G23" s="109"/>
    </row>
    <row r="24" spans="2:7" x14ac:dyDescent="0.2">
      <c r="B24" s="108"/>
      <c r="C24" s="115" t="s">
        <v>78</v>
      </c>
      <c r="D24" s="136"/>
      <c r="E24" s="116"/>
      <c r="F24" s="137">
        <f>4</f>
        <v>4</v>
      </c>
      <c r="G24" s="109"/>
    </row>
    <row r="25" spans="2:7" x14ac:dyDescent="0.2">
      <c r="B25" s="108"/>
      <c r="C25" s="118" t="s">
        <v>79</v>
      </c>
      <c r="D25" s="119"/>
      <c r="E25" s="120"/>
      <c r="F25" s="138">
        <f>F21</f>
        <v>71238.086677442436</v>
      </c>
      <c r="G25" s="109"/>
    </row>
    <row r="26" spans="2:7" x14ac:dyDescent="0.2">
      <c r="B26" s="108"/>
      <c r="C26" s="118" t="s">
        <v>80</v>
      </c>
      <c r="D26" s="119"/>
      <c r="E26" s="120"/>
      <c r="F26" s="138">
        <f>IF(F12="sjöfart",('Index och uppräkningsfaktorer'!M4),IF(F12="väg",('Index och uppräkningsfaktorer'!K4),IF(F12="järnväg",('Index och uppräkningsfaktorer'!L4),0)))</f>
        <v>1.0119378470004265</v>
      </c>
      <c r="G26" s="109"/>
    </row>
    <row r="27" spans="2:7" x14ac:dyDescent="0.2">
      <c r="B27" s="108"/>
      <c r="C27" s="118" t="s">
        <v>81</v>
      </c>
      <c r="D27" s="119"/>
      <c r="E27" s="120"/>
      <c r="F27" s="139">
        <f>1/(F26^F24)</f>
        <v>0.95364040563567487</v>
      </c>
      <c r="G27" s="109"/>
    </row>
    <row r="28" spans="2:7" x14ac:dyDescent="0.2">
      <c r="B28" s="108"/>
      <c r="C28" s="140" t="s">
        <v>82</v>
      </c>
      <c r="D28" s="119"/>
      <c r="E28" s="120"/>
      <c r="F28" s="141">
        <f>F21*F27</f>
        <v>67935.517875785576</v>
      </c>
      <c r="G28" s="109"/>
    </row>
    <row r="29" spans="2:7" ht="13.5" thickBot="1" x14ac:dyDescent="0.25">
      <c r="B29" s="108"/>
      <c r="C29" s="134" t="s">
        <v>83</v>
      </c>
      <c r="D29" s="125"/>
      <c r="E29" s="125"/>
      <c r="F29" s="142">
        <f>F28*F26^(2028-2019)</f>
        <v>75592.975749332167</v>
      </c>
      <c r="G29" s="143"/>
    </row>
    <row r="30" spans="2:7" x14ac:dyDescent="0.2">
      <c r="B30" s="108"/>
      <c r="C30" s="144"/>
      <c r="D30" s="145"/>
      <c r="E30" s="145"/>
      <c r="F30" s="146"/>
      <c r="G30" s="147"/>
    </row>
    <row r="31" spans="2:7" ht="13.5" thickBot="1" x14ac:dyDescent="0.25">
      <c r="B31" s="108"/>
      <c r="C31" s="148" t="s">
        <v>84</v>
      </c>
      <c r="D31" s="110"/>
      <c r="G31" s="149"/>
    </row>
    <row r="32" spans="2:7" ht="13.5" thickBot="1" x14ac:dyDescent="0.25">
      <c r="B32" s="108"/>
      <c r="C32" s="150"/>
      <c r="D32" s="151"/>
      <c r="E32" s="152" t="s">
        <v>85</v>
      </c>
      <c r="F32" s="153" t="s">
        <v>86</v>
      </c>
      <c r="G32" s="109"/>
    </row>
    <row r="33" spans="2:11" ht="25.5" x14ac:dyDescent="0.2">
      <c r="B33" s="108"/>
      <c r="C33" s="154" t="s">
        <v>87</v>
      </c>
      <c r="D33" s="155"/>
      <c r="E33" s="156" t="str">
        <f>F11</f>
        <v>2026-01</v>
      </c>
      <c r="F33" s="157">
        <f>F10</f>
        <v>84500</v>
      </c>
      <c r="G33" s="109"/>
      <c r="K33"/>
    </row>
    <row r="34" spans="2:11" ht="25.5" x14ac:dyDescent="0.2">
      <c r="B34" s="108"/>
      <c r="C34" s="158" t="s">
        <v>88</v>
      </c>
      <c r="D34" s="159"/>
      <c r="E34" s="160" t="s">
        <v>89</v>
      </c>
      <c r="F34" s="161">
        <f>F15</f>
        <v>86418.751172249526</v>
      </c>
      <c r="G34" s="109"/>
      <c r="K34"/>
    </row>
    <row r="35" spans="2:11" ht="26.25" thickBot="1" x14ac:dyDescent="0.25">
      <c r="B35" s="108"/>
      <c r="C35" s="162" t="s">
        <v>90</v>
      </c>
      <c r="D35" s="125"/>
      <c r="E35" s="163" t="s">
        <v>91</v>
      </c>
      <c r="F35" s="164">
        <f>'Nuvärde inv kost'!F25</f>
        <v>73917.975366952072</v>
      </c>
      <c r="G35" s="109"/>
      <c r="K35"/>
    </row>
    <row r="36" spans="2:11" x14ac:dyDescent="0.2">
      <c r="B36" s="108"/>
      <c r="G36" s="109"/>
      <c r="K36"/>
    </row>
    <row r="37" spans="2:11" ht="13.5" thickBot="1" x14ac:dyDescent="0.25">
      <c r="B37" s="165"/>
      <c r="C37" s="166"/>
      <c r="D37" s="166"/>
      <c r="E37" s="166"/>
      <c r="F37" s="166"/>
      <c r="G37" s="167"/>
    </row>
  </sheetData>
  <mergeCells count="4">
    <mergeCell ref="C3:F3"/>
    <mergeCell ref="C5:E5"/>
    <mergeCell ref="C6:E6"/>
    <mergeCell ref="C11:E11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5ACB1-FD3D-44BE-8620-DFAEA4E119EE}">
  <dimension ref="B1:H27"/>
  <sheetViews>
    <sheetView workbookViewId="0">
      <selection activeCell="D12" sqref="D12"/>
    </sheetView>
  </sheetViews>
  <sheetFormatPr defaultColWidth="8.85546875" defaultRowHeight="12.75" x14ac:dyDescent="0.2"/>
  <cols>
    <col min="1" max="1" width="3.42578125" style="104" customWidth="1"/>
    <col min="2" max="2" width="8.85546875" style="104"/>
    <col min="3" max="3" width="18.28515625" style="104" customWidth="1"/>
    <col min="4" max="4" width="17.7109375" style="104" customWidth="1"/>
    <col min="5" max="5" width="16.7109375" style="104" customWidth="1"/>
    <col min="6" max="6" width="22.85546875" style="104" customWidth="1"/>
    <col min="7" max="9" width="8.85546875" style="104"/>
    <col min="10" max="10" width="33" style="104" customWidth="1"/>
    <col min="11" max="16384" width="8.85546875" style="104"/>
  </cols>
  <sheetData>
    <row r="1" spans="2:8" ht="13.5" thickBot="1" x14ac:dyDescent="0.25"/>
    <row r="2" spans="2:8" x14ac:dyDescent="0.2">
      <c r="B2" s="105"/>
      <c r="C2" s="106"/>
      <c r="D2" s="106"/>
      <c r="E2" s="106"/>
      <c r="F2" s="107"/>
    </row>
    <row r="3" spans="2:8" ht="26.25" x14ac:dyDescent="0.4">
      <c r="B3" s="281" t="s">
        <v>92</v>
      </c>
      <c r="C3" s="282"/>
      <c r="D3" s="282"/>
      <c r="E3" s="282"/>
      <c r="F3" s="283"/>
    </row>
    <row r="4" spans="2:8" x14ac:dyDescent="0.2">
      <c r="B4" s="108"/>
      <c r="F4" s="109"/>
    </row>
    <row r="5" spans="2:8" ht="66" customHeight="1" x14ac:dyDescent="0.2">
      <c r="B5" s="108"/>
      <c r="C5" s="284"/>
      <c r="D5" s="284"/>
      <c r="E5" s="284"/>
      <c r="F5" s="109"/>
    </row>
    <row r="6" spans="2:8" ht="57" customHeight="1" x14ac:dyDescent="0.2">
      <c r="B6" s="108"/>
      <c r="C6" s="285" t="s">
        <v>93</v>
      </c>
      <c r="D6" s="285"/>
      <c r="E6" s="285"/>
      <c r="F6" s="109"/>
    </row>
    <row r="7" spans="2:8" x14ac:dyDescent="0.2">
      <c r="B7" s="108"/>
      <c r="F7" s="109"/>
    </row>
    <row r="8" spans="2:8" ht="13.5" thickBot="1" x14ac:dyDescent="0.25">
      <c r="B8" s="108"/>
      <c r="F8" s="109"/>
    </row>
    <row r="9" spans="2:8" x14ac:dyDescent="0.2">
      <c r="B9" s="108"/>
      <c r="C9" s="131" t="s">
        <v>94</v>
      </c>
      <c r="D9" s="117" t="s">
        <v>95</v>
      </c>
      <c r="E9" s="168"/>
      <c r="F9" s="109"/>
    </row>
    <row r="10" spans="2:8" x14ac:dyDescent="0.2">
      <c r="B10" s="108"/>
      <c r="C10" s="118" t="s">
        <v>96</v>
      </c>
      <c r="D10" s="120">
        <v>3.5000000000000003E-2</v>
      </c>
      <c r="E10" s="169" t="s">
        <v>97</v>
      </c>
      <c r="F10" s="170"/>
    </row>
    <row r="11" spans="2:8" x14ac:dyDescent="0.2">
      <c r="B11" s="108"/>
      <c r="C11" s="118" t="s">
        <v>98</v>
      </c>
      <c r="D11" s="171">
        <v>2028</v>
      </c>
      <c r="E11" s="169" t="s">
        <v>97</v>
      </c>
      <c r="F11" s="170"/>
      <c r="H11" s="172"/>
    </row>
    <row r="12" spans="2:8" ht="13.5" thickBot="1" x14ac:dyDescent="0.25">
      <c r="B12" s="108"/>
      <c r="C12" s="134" t="s">
        <v>99</v>
      </c>
      <c r="D12" s="257">
        <f>Diskonteringsverktyg!D54</f>
        <v>3</v>
      </c>
      <c r="E12" s="173" t="s">
        <v>97</v>
      </c>
      <c r="F12" s="170"/>
    </row>
    <row r="13" spans="2:8" ht="13.5" thickBot="1" x14ac:dyDescent="0.25">
      <c r="B13" s="108"/>
      <c r="F13" s="109"/>
    </row>
    <row r="14" spans="2:8" ht="38.25" x14ac:dyDescent="0.2">
      <c r="B14" s="108"/>
      <c r="C14" s="174" t="s">
        <v>100</v>
      </c>
      <c r="D14" s="175" t="s">
        <v>101</v>
      </c>
      <c r="E14" s="176" t="s">
        <v>102</v>
      </c>
      <c r="F14" s="176" t="s">
        <v>103</v>
      </c>
    </row>
    <row r="15" spans="2:8" x14ac:dyDescent="0.2">
      <c r="B15" s="177"/>
      <c r="C15" s="178">
        <f>D11</f>
        <v>2028</v>
      </c>
      <c r="D15" s="179">
        <f>IF(D$12=1,'Indexomräkning kostnad'!F$29,IF(D$12=2,'Indexomräkning kostnad'!F$29*0.5,IF('Nuvärde inv kost'!D$12=3,'Indexomräkning kostnad'!F$29*0.25,IF('Nuvärde inv kost'!D$12=4,'Indexomräkning kostnad'!F$29*0.25,IF('Nuvärde inv kost'!D$12=5,'Indexomräkning kostnad'!F$29*0.2,IF('Nuvärde inv kost'!D$12=6,'Indexomräkning kostnad'!F$29*1/6,IF('Nuvärde inv kost'!D$12=7,'Indexomräkning kostnad'!F$29*1/7,IF('Nuvärde inv kost'!D$12=8,'Indexomräkning kostnad'!F$29*1/8,IF('Nuvärde inv kost'!D$12=9,'Indexomräkning kostnad'!F$29*1/9,IF('Nuvärde inv kost'!D$12=10,'Indexomräkning kostnad'!F$29*1/10,0))))))))))</f>
        <v>18898.243937333042</v>
      </c>
      <c r="E15" s="180">
        <f>D15*('Indexomräkning kostnad'!F$26)^('Nuvärde inv kost'!C15-'Nuvärde inv kost'!D$11)</f>
        <v>18898.243937333042</v>
      </c>
      <c r="F15" s="181">
        <f>E15/(1+D$10)^(C15-D$11)</f>
        <v>18898.243937333042</v>
      </c>
    </row>
    <row r="16" spans="2:8" x14ac:dyDescent="0.2">
      <c r="B16" s="177"/>
      <c r="C16" s="178">
        <f t="shared" ref="C16:C24" si="0">C15+1</f>
        <v>2029</v>
      </c>
      <c r="D16" s="179">
        <f>IF(D$12=2,'Indexomräkning kostnad'!F$29*0.5,IF('Nuvärde inv kost'!D$12=3,'Indexomräkning kostnad'!F$29*0.5,IF('Nuvärde inv kost'!D$12=4,'Indexomräkning kostnad'!F$29*0.25,IF('Nuvärde inv kost'!D$12=5,'Indexomräkning kostnad'!F$29*0.2,IF('Nuvärde inv kost'!D$12=6,'Indexomräkning kostnad'!F$29*1/6,IF('Nuvärde inv kost'!D$12=7,'Indexomräkning kostnad'!F$29*1/7,IF('Nuvärde inv kost'!D$12=8,'Indexomräkning kostnad'!F$29*1/8,IF('Nuvärde inv kost'!D$12=9,'Indexomräkning kostnad'!F$29*1/9,IF('Nuvärde inv kost'!D$12=10,'Indexomräkning kostnad'!F$29*1/10,0)))))))))</f>
        <v>37796.487874666083</v>
      </c>
      <c r="E16" s="180">
        <f>D16*('Indexomräkning kostnad'!F$26)^('Nuvärde inv kost'!C16-'Nuvärde inv kost'!D$11)</f>
        <v>38247.696564067322</v>
      </c>
      <c r="F16" s="181">
        <f t="shared" ref="F16:F24" si="1">E16/(1+D$10)^(C16-D$11)</f>
        <v>36954.296197166499</v>
      </c>
    </row>
    <row r="17" spans="2:7" x14ac:dyDescent="0.2">
      <c r="B17" s="177"/>
      <c r="C17" s="178">
        <f t="shared" si="0"/>
        <v>2030</v>
      </c>
      <c r="D17" s="179">
        <f>IF('Nuvärde inv kost'!D$12=3,'Indexomräkning kostnad'!F$29*0.25,IF('Nuvärde inv kost'!D$12=4,'Indexomräkning kostnad'!F$29*0.25,IF('Nuvärde inv kost'!D$12=5,'Indexomräkning kostnad'!F$29*0.2,IF('Nuvärde inv kost'!D$12=6,'Indexomräkning kostnad'!F$29*1/6,IF('Nuvärde inv kost'!D$12=7,'Indexomräkning kostnad'!F$29*1/7,IF('Nuvärde inv kost'!D$12=8,'Indexomräkning kostnad'!F$29*1/8,IF('Nuvärde inv kost'!D$12=9,'Indexomräkning kostnad'!F$29*1/9,IF('Nuvärde inv kost'!D$12=10,'Indexomräkning kostnad'!F$29*1/10,0))))))))</f>
        <v>18898.243937333042</v>
      </c>
      <c r="E17" s="180">
        <f>D17*('Indexomräkning kostnad'!F$26)^('Nuvärde inv kost'!C17-'Nuvärde inv kost'!D$11)</f>
        <v>19352.145856883952</v>
      </c>
      <c r="F17" s="181">
        <f t="shared" si="1"/>
        <v>18065.435232452524</v>
      </c>
    </row>
    <row r="18" spans="2:7" x14ac:dyDescent="0.2">
      <c r="B18" s="177"/>
      <c r="C18" s="178">
        <f t="shared" si="0"/>
        <v>2031</v>
      </c>
      <c r="D18" s="179">
        <f>IF('Nuvärde inv kost'!D$12=4,'Indexomräkning kostnad'!F$29*0.25,IF('Nuvärde inv kost'!D$12=5,'Indexomräkning kostnad'!F$29*0.2,IF('Nuvärde inv kost'!D$12=6,'Indexomräkning kostnad'!F$29*1/6,IF('Nuvärde inv kost'!D$12=7,'Indexomräkning kostnad'!F$29*1/7,IF('Nuvärde inv kost'!D$12=8,'Indexomräkning kostnad'!F$29*1/8,IF('Nuvärde inv kost'!D$12=9,'Indexomräkning kostnad'!F$29*1/9,IF('Nuvärde inv kost'!D$12=10,'Indexomräkning kostnad'!F$29*1/10,0)))))))</f>
        <v>0</v>
      </c>
      <c r="E18" s="180">
        <f>D18*('Indexomräkning kostnad'!F$26)^('Nuvärde inv kost'!C18-'Nuvärde inv kost'!D$11)</f>
        <v>0</v>
      </c>
      <c r="F18" s="181">
        <f t="shared" si="1"/>
        <v>0</v>
      </c>
    </row>
    <row r="19" spans="2:7" x14ac:dyDescent="0.2">
      <c r="B19" s="177"/>
      <c r="C19" s="178">
        <f t="shared" si="0"/>
        <v>2032</v>
      </c>
      <c r="D19" s="179">
        <f>IF('Nuvärde inv kost'!D$12=5,'Indexomräkning kostnad'!F$29*0.2,IF('Nuvärde inv kost'!D$12=6,'Indexomräkning kostnad'!F$29*1/6,IF('Nuvärde inv kost'!D$12=7,'Indexomräkning kostnad'!F$29*1/7,IF('Nuvärde inv kost'!D$12=8,'Indexomräkning kostnad'!F$29*1/8,IF('Nuvärde inv kost'!D$12=9,'Indexomräkning kostnad'!F$29*1/9,IF('Nuvärde inv kost'!D$12=10,'Indexomräkning kostnad'!F$29*1/10,0))))))</f>
        <v>0</v>
      </c>
      <c r="E19" s="180">
        <f>D19*('Indexomräkning kostnad'!F$26)^('Nuvärde inv kost'!C19-'Nuvärde inv kost'!D$11)</f>
        <v>0</v>
      </c>
      <c r="F19" s="181">
        <f t="shared" si="1"/>
        <v>0</v>
      </c>
      <c r="G19" s="182"/>
    </row>
    <row r="20" spans="2:7" x14ac:dyDescent="0.2">
      <c r="B20" s="177"/>
      <c r="C20" s="178">
        <f t="shared" si="0"/>
        <v>2033</v>
      </c>
      <c r="D20" s="179">
        <f>IF('Nuvärde inv kost'!D$12=6,'Indexomräkning kostnad'!F$29*1/6,IF('Nuvärde inv kost'!D$12=7,'Indexomräkning kostnad'!F$29*1/7,IF('Nuvärde inv kost'!D$12=8,'Indexomräkning kostnad'!F$29*1/8,IF('Nuvärde inv kost'!D$12=9,'Indexomräkning kostnad'!F$29*1/9,IF('Nuvärde inv kost'!D$12=10,'Indexomräkning kostnad'!F$29*1/10,0)))))</f>
        <v>0</v>
      </c>
      <c r="E20" s="180">
        <f>D20*('Indexomräkning kostnad'!F$26)^('Nuvärde inv kost'!C20-'Nuvärde inv kost'!D$11)</f>
        <v>0</v>
      </c>
      <c r="F20" s="181">
        <f t="shared" si="1"/>
        <v>0</v>
      </c>
    </row>
    <row r="21" spans="2:7" x14ac:dyDescent="0.2">
      <c r="B21" s="177"/>
      <c r="C21" s="178">
        <f t="shared" si="0"/>
        <v>2034</v>
      </c>
      <c r="D21" s="179">
        <f>IF('Nuvärde inv kost'!D$12=7,'Indexomräkning kostnad'!F$29*1/7,IF('Nuvärde inv kost'!D$12=8,'Indexomräkning kostnad'!F$29*1/8,IF('Nuvärde inv kost'!D$12=9,'Indexomräkning kostnad'!F$29*1/9,IF('Nuvärde inv kost'!D$12=10,'Indexomräkning kostnad'!F$29*1/10,0))))</f>
        <v>0</v>
      </c>
      <c r="E21" s="180">
        <f>D21*('Indexomräkning kostnad'!F$26)^('Nuvärde inv kost'!C21-'Nuvärde inv kost'!D$11)</f>
        <v>0</v>
      </c>
      <c r="F21" s="181">
        <f t="shared" si="1"/>
        <v>0</v>
      </c>
    </row>
    <row r="22" spans="2:7" x14ac:dyDescent="0.2">
      <c r="B22" s="177"/>
      <c r="C22" s="178">
        <f t="shared" si="0"/>
        <v>2035</v>
      </c>
      <c r="D22" s="179">
        <f>IF('Nuvärde inv kost'!D$12=8,'Indexomräkning kostnad'!F$29*1/8,IF('Nuvärde inv kost'!D$12=9,'Indexomräkning kostnad'!F$29*1/9,IF('Nuvärde inv kost'!D$12=10,'Indexomräkning kostnad'!F$29*1/10,0)))</f>
        <v>0</v>
      </c>
      <c r="E22" s="180">
        <f>D22*('Indexomräkning kostnad'!F$26)^('Nuvärde inv kost'!C22-'Nuvärde inv kost'!D$11)</f>
        <v>0</v>
      </c>
      <c r="F22" s="181">
        <f t="shared" si="1"/>
        <v>0</v>
      </c>
    </row>
    <row r="23" spans="2:7" x14ac:dyDescent="0.2">
      <c r="B23" s="177"/>
      <c r="C23" s="178">
        <f t="shared" si="0"/>
        <v>2036</v>
      </c>
      <c r="D23" s="179">
        <f>IF('Nuvärde inv kost'!D$12=9,'Indexomräkning kostnad'!F$29*1/9,IF('Nuvärde inv kost'!D$12=10,'Indexomräkning kostnad'!F$29*1/10,0))</f>
        <v>0</v>
      </c>
      <c r="E23" s="180">
        <f>D23*('Indexomräkning kostnad'!F$26)^('Nuvärde inv kost'!C23-'Nuvärde inv kost'!D$11)</f>
        <v>0</v>
      </c>
      <c r="F23" s="181">
        <f t="shared" si="1"/>
        <v>0</v>
      </c>
    </row>
    <row r="24" spans="2:7" x14ac:dyDescent="0.2">
      <c r="B24" s="177"/>
      <c r="C24" s="178">
        <f t="shared" si="0"/>
        <v>2037</v>
      </c>
      <c r="D24" s="179">
        <f>IF('Nuvärde inv kost'!D$12=10,'Indexomräkning kostnad'!F$29*1/10,0)</f>
        <v>0</v>
      </c>
      <c r="E24" s="180">
        <f>D24*('Indexomräkning kostnad'!F$26)^('Nuvärde inv kost'!C24-'Nuvärde inv kost'!D$11)</f>
        <v>0</v>
      </c>
      <c r="F24" s="181">
        <f t="shared" si="1"/>
        <v>0</v>
      </c>
    </row>
    <row r="25" spans="2:7" ht="13.5" thickBot="1" x14ac:dyDescent="0.25">
      <c r="B25" s="108"/>
      <c r="C25" s="183" t="s">
        <v>104</v>
      </c>
      <c r="D25" s="184">
        <f>SUM(D15:D24)</f>
        <v>75592.975749332167</v>
      </c>
      <c r="E25" s="185">
        <f>SUM(E15:E24)</f>
        <v>76498.086358284316</v>
      </c>
      <c r="F25" s="186">
        <f>SUM(F15:F24)</f>
        <v>73917.975366952072</v>
      </c>
    </row>
    <row r="26" spans="2:7" x14ac:dyDescent="0.2">
      <c r="B26" s="108"/>
      <c r="F26" s="109"/>
    </row>
    <row r="27" spans="2:7" ht="13.5" thickBot="1" x14ac:dyDescent="0.25">
      <c r="B27" s="165"/>
      <c r="C27" s="166"/>
      <c r="D27" s="166"/>
      <c r="E27" s="166"/>
      <c r="F27" s="167"/>
    </row>
  </sheetData>
  <mergeCells count="3">
    <mergeCell ref="B3:F3"/>
    <mergeCell ref="C5:E5"/>
    <mergeCell ref="C6:E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F6228-6C71-4AF0-BC2C-0A5C524EB450}">
  <dimension ref="A1:R445"/>
  <sheetViews>
    <sheetView topLeftCell="A408" workbookViewId="0">
      <selection activeCell="D421" sqref="D421"/>
    </sheetView>
  </sheetViews>
  <sheetFormatPr defaultRowHeight="12.75" x14ac:dyDescent="0.2"/>
  <cols>
    <col min="2" max="2" width="10.7109375" bestFit="1" customWidth="1"/>
    <col min="3" max="3" width="18.5703125" customWidth="1"/>
    <col min="4" max="4" width="15.5703125" customWidth="1"/>
    <col min="5" max="5" width="9.140625" customWidth="1"/>
    <col min="6" max="6" width="11.42578125" customWidth="1"/>
    <col min="7" max="7" width="9.140625" customWidth="1"/>
    <col min="10" max="10" width="12" bestFit="1" customWidth="1"/>
    <col min="12" max="12" width="12" bestFit="1" customWidth="1"/>
  </cols>
  <sheetData>
    <row r="1" spans="1:13" ht="120.75" thickBot="1" x14ac:dyDescent="0.3">
      <c r="A1" s="114" t="s">
        <v>105</v>
      </c>
      <c r="B1" s="114"/>
      <c r="C1" s="187" t="s">
        <v>106</v>
      </c>
      <c r="D1" s="188" t="s">
        <v>107</v>
      </c>
      <c r="E1" s="188" t="s">
        <v>108</v>
      </c>
      <c r="F1" s="189" t="s">
        <v>124</v>
      </c>
      <c r="G1" s="189" t="s">
        <v>109</v>
      </c>
      <c r="K1" t="s">
        <v>110</v>
      </c>
      <c r="L1" t="s">
        <v>111</v>
      </c>
    </row>
    <row r="2" spans="1:13" ht="16.5" thickBot="1" x14ac:dyDescent="0.3">
      <c r="A2" s="190">
        <v>1990</v>
      </c>
      <c r="B2" s="191">
        <v>32874</v>
      </c>
      <c r="C2" s="192">
        <v>100</v>
      </c>
      <c r="D2" s="193">
        <v>100</v>
      </c>
      <c r="E2" s="193"/>
      <c r="F2" s="194">
        <v>100</v>
      </c>
      <c r="G2" s="194">
        <v>100</v>
      </c>
      <c r="K2" s="286" t="s">
        <v>112</v>
      </c>
      <c r="L2" s="288" t="s">
        <v>113</v>
      </c>
      <c r="M2" s="195" t="s">
        <v>114</v>
      </c>
    </row>
    <row r="3" spans="1:13" ht="72" customHeight="1" thickBot="1" x14ac:dyDescent="0.3">
      <c r="A3" s="196"/>
      <c r="B3" s="197">
        <v>32905</v>
      </c>
      <c r="C3" s="198">
        <v>100.84</v>
      </c>
      <c r="D3" s="199">
        <v>101.11545909849748</v>
      </c>
      <c r="E3" s="199"/>
      <c r="F3" s="200">
        <v>100.35300050428644</v>
      </c>
      <c r="G3" s="200">
        <v>100.34464475079534</v>
      </c>
      <c r="K3" s="287"/>
      <c r="L3" s="289"/>
      <c r="M3" s="201" t="s">
        <v>115</v>
      </c>
    </row>
    <row r="4" spans="1:13" ht="16.5" thickBot="1" x14ac:dyDescent="0.3">
      <c r="A4" s="196"/>
      <c r="B4" s="197">
        <v>32933</v>
      </c>
      <c r="C4" s="198">
        <v>100.93</v>
      </c>
      <c r="D4" s="199">
        <v>100.98691151919866</v>
      </c>
      <c r="E4" s="199"/>
      <c r="F4" s="200">
        <v>103.1265758951084</v>
      </c>
      <c r="G4" s="200">
        <v>101.26193001060446</v>
      </c>
      <c r="K4" s="202">
        <f>(112.6/100)^(1/(2019-2009))</f>
        <v>1.0119378470004265</v>
      </c>
      <c r="L4" s="202">
        <f>(121.2/100)^(1/(2019-2009))</f>
        <v>1.0194132215415621</v>
      </c>
      <c r="M4" s="202">
        <v>1.0209999999999999</v>
      </c>
    </row>
    <row r="5" spans="1:13" ht="15" x14ac:dyDescent="0.25">
      <c r="A5" s="196"/>
      <c r="B5" s="197">
        <v>32964</v>
      </c>
      <c r="C5" s="198">
        <v>101.185</v>
      </c>
      <c r="D5" s="199">
        <v>101.16396393989984</v>
      </c>
      <c r="E5" s="199"/>
      <c r="F5" s="200">
        <v>103.47957639939484</v>
      </c>
      <c r="G5" s="200">
        <v>101.66489925768825</v>
      </c>
    </row>
    <row r="6" spans="1:13" ht="15" x14ac:dyDescent="0.25">
      <c r="A6" s="196"/>
      <c r="B6" s="197">
        <v>32994</v>
      </c>
      <c r="C6" s="198">
        <v>101.375</v>
      </c>
      <c r="D6" s="199">
        <v>101.21290818030049</v>
      </c>
      <c r="E6" s="199"/>
      <c r="F6" s="200">
        <v>104.08472012102874</v>
      </c>
      <c r="G6" s="200">
        <v>102.00954400848357</v>
      </c>
      <c r="K6" s="24" t="s">
        <v>51</v>
      </c>
    </row>
    <row r="7" spans="1:13" ht="15" x14ac:dyDescent="0.25">
      <c r="A7" s="196"/>
      <c r="B7" s="197">
        <v>33025</v>
      </c>
      <c r="C7" s="198">
        <v>101.785</v>
      </c>
      <c r="D7" s="199">
        <v>101.12756060100168</v>
      </c>
      <c r="E7" s="199"/>
      <c r="F7" s="200">
        <v>104.03429147755925</v>
      </c>
      <c r="G7" s="200">
        <v>101.91410392364794</v>
      </c>
      <c r="K7" s="24" t="s">
        <v>53</v>
      </c>
    </row>
    <row r="8" spans="1:13" ht="15" x14ac:dyDescent="0.25">
      <c r="A8" s="196"/>
      <c r="B8" s="197">
        <v>33055</v>
      </c>
      <c r="C8" s="198">
        <v>103.175</v>
      </c>
      <c r="D8" s="199">
        <v>102.14134424040068</v>
      </c>
      <c r="E8" s="199"/>
      <c r="F8" s="200">
        <v>104.99243570347956</v>
      </c>
      <c r="G8" s="200">
        <v>101.99893955461295</v>
      </c>
    </row>
    <row r="9" spans="1:13" ht="15" x14ac:dyDescent="0.25">
      <c r="A9" s="196"/>
      <c r="B9" s="197">
        <v>33086</v>
      </c>
      <c r="C9" s="198">
        <v>103.35</v>
      </c>
      <c r="D9" s="199">
        <v>102.07436060100169</v>
      </c>
      <c r="E9" s="199"/>
      <c r="F9" s="200">
        <v>105.69843671205244</v>
      </c>
      <c r="G9" s="200">
        <v>102.73594909862143</v>
      </c>
    </row>
    <row r="10" spans="1:13" ht="15" x14ac:dyDescent="0.25">
      <c r="A10" s="196"/>
      <c r="B10" s="197">
        <v>33117</v>
      </c>
      <c r="C10" s="198">
        <v>103.855</v>
      </c>
      <c r="D10" s="199">
        <v>102.87109515859767</v>
      </c>
      <c r="E10" s="199"/>
      <c r="F10" s="200">
        <v>106.90872415532023</v>
      </c>
      <c r="G10" s="200">
        <v>104.02439024390245</v>
      </c>
    </row>
    <row r="11" spans="1:13" ht="15" x14ac:dyDescent="0.25">
      <c r="A11" s="196"/>
      <c r="B11" s="197">
        <v>33147</v>
      </c>
      <c r="C11" s="198">
        <v>104.325</v>
      </c>
      <c r="D11" s="199">
        <v>104.2452921535893</v>
      </c>
      <c r="E11" s="199"/>
      <c r="F11" s="200">
        <v>107.6147251638931</v>
      </c>
      <c r="G11" s="200">
        <v>104.79851537645813</v>
      </c>
    </row>
    <row r="12" spans="1:13" ht="15" x14ac:dyDescent="0.25">
      <c r="A12" s="196"/>
      <c r="B12" s="197">
        <v>33178</v>
      </c>
      <c r="C12" s="198">
        <v>104.735</v>
      </c>
      <c r="D12" s="199">
        <v>104.85285943238731</v>
      </c>
      <c r="E12" s="199"/>
      <c r="F12" s="200">
        <v>107.96772566817951</v>
      </c>
      <c r="G12" s="200">
        <v>105.28101802757159</v>
      </c>
    </row>
    <row r="13" spans="1:13" ht="15" x14ac:dyDescent="0.25">
      <c r="A13" s="203"/>
      <c r="B13" s="204">
        <v>33208</v>
      </c>
      <c r="C13" s="205">
        <v>104.75</v>
      </c>
      <c r="D13" s="206">
        <v>105.05449883138564</v>
      </c>
      <c r="E13" s="206"/>
      <c r="F13" s="207">
        <v>107.86686838124054</v>
      </c>
      <c r="G13" s="207">
        <v>105.29162248144222</v>
      </c>
    </row>
    <row r="14" spans="1:13" ht="15" x14ac:dyDescent="0.25">
      <c r="A14" s="190">
        <v>1991</v>
      </c>
      <c r="B14" s="191">
        <v>33239</v>
      </c>
      <c r="C14" s="192">
        <v>108.4</v>
      </c>
      <c r="D14" s="208">
        <v>108.05330884808014</v>
      </c>
      <c r="E14" s="208"/>
      <c r="F14" s="194">
        <v>110.43872919818456</v>
      </c>
      <c r="G14" s="194">
        <v>103.40933191940616</v>
      </c>
    </row>
    <row r="15" spans="1:13" ht="15" x14ac:dyDescent="0.25">
      <c r="A15" s="196"/>
      <c r="B15" s="197">
        <v>33270</v>
      </c>
      <c r="C15" s="198">
        <v>108.655</v>
      </c>
      <c r="D15" s="199">
        <v>108.48585642737896</v>
      </c>
      <c r="E15" s="199"/>
      <c r="F15" s="200">
        <v>113.464447806354</v>
      </c>
      <c r="G15" s="200">
        <v>106.95652173913044</v>
      </c>
    </row>
    <row r="16" spans="1:13" ht="15" x14ac:dyDescent="0.25">
      <c r="A16" s="196"/>
      <c r="B16" s="197">
        <v>33298</v>
      </c>
      <c r="C16" s="198">
        <v>108.74</v>
      </c>
      <c r="D16" s="199">
        <v>108.51058096828046</v>
      </c>
      <c r="E16" s="199"/>
      <c r="F16" s="200">
        <v>113.86787695410993</v>
      </c>
      <c r="G16" s="200">
        <v>107.38600212089078</v>
      </c>
    </row>
    <row r="17" spans="1:7" ht="15" x14ac:dyDescent="0.25">
      <c r="A17" s="196"/>
      <c r="B17" s="197">
        <v>33329</v>
      </c>
      <c r="C17" s="198">
        <v>108.71</v>
      </c>
      <c r="D17" s="199">
        <v>107.5752921535893</v>
      </c>
      <c r="E17" s="199"/>
      <c r="F17" s="200">
        <v>114.5234493192133</v>
      </c>
      <c r="G17" s="200">
        <v>107.6829268292683</v>
      </c>
    </row>
    <row r="18" spans="1:7" ht="15" x14ac:dyDescent="0.25">
      <c r="A18" s="196"/>
      <c r="B18" s="197">
        <v>33359</v>
      </c>
      <c r="C18" s="198">
        <v>108.85</v>
      </c>
      <c r="D18" s="199">
        <v>107.69874791318864</v>
      </c>
      <c r="E18" s="199"/>
      <c r="F18" s="200">
        <v>114.6243066061523</v>
      </c>
      <c r="G18" s="200">
        <v>107.90031813361611</v>
      </c>
    </row>
    <row r="19" spans="1:7" ht="15" x14ac:dyDescent="0.25">
      <c r="A19" s="196"/>
      <c r="B19" s="197">
        <v>33390</v>
      </c>
      <c r="C19" s="198">
        <v>108.82</v>
      </c>
      <c r="D19" s="199">
        <v>107.66202003338898</v>
      </c>
      <c r="E19" s="199"/>
      <c r="F19" s="200">
        <v>114.47302067574381</v>
      </c>
      <c r="G19" s="200">
        <v>107.82078472958642</v>
      </c>
    </row>
    <row r="20" spans="1:7" ht="15" x14ac:dyDescent="0.25">
      <c r="A20" s="196"/>
      <c r="B20" s="197">
        <v>33420</v>
      </c>
      <c r="C20" s="198">
        <v>109.66500000000001</v>
      </c>
      <c r="D20" s="199">
        <v>108.16893155258764</v>
      </c>
      <c r="E20" s="199"/>
      <c r="F20" s="200">
        <v>114.5234493192133</v>
      </c>
      <c r="G20" s="200">
        <v>108.65853658536587</v>
      </c>
    </row>
    <row r="21" spans="1:7" ht="15" x14ac:dyDescent="0.25">
      <c r="A21" s="196"/>
      <c r="B21" s="197">
        <v>33451</v>
      </c>
      <c r="C21" s="198">
        <v>109.76</v>
      </c>
      <c r="D21" s="199">
        <v>108.16893155258764</v>
      </c>
      <c r="E21" s="199"/>
      <c r="F21" s="200">
        <v>114.32173474533533</v>
      </c>
      <c r="G21" s="200">
        <v>108.56839872746554</v>
      </c>
    </row>
    <row r="22" spans="1:7" ht="15" x14ac:dyDescent="0.25">
      <c r="A22" s="196"/>
      <c r="B22" s="197">
        <v>33482</v>
      </c>
      <c r="C22" s="198">
        <v>111.18</v>
      </c>
      <c r="D22" s="199">
        <v>110.05690217028381</v>
      </c>
      <c r="E22" s="199"/>
      <c r="F22" s="200">
        <v>115.58245083207261</v>
      </c>
      <c r="G22" s="200">
        <v>109.63944856839873</v>
      </c>
    </row>
    <row r="23" spans="1:7" ht="15" x14ac:dyDescent="0.25">
      <c r="A23" s="196"/>
      <c r="B23" s="197">
        <v>33512</v>
      </c>
      <c r="C23" s="198">
        <v>109.85</v>
      </c>
      <c r="D23" s="199">
        <v>108.25678731218697</v>
      </c>
      <c r="E23" s="199"/>
      <c r="F23" s="200">
        <v>116.03630862329804</v>
      </c>
      <c r="G23" s="200">
        <v>110.09013785790032</v>
      </c>
    </row>
    <row r="24" spans="1:7" ht="15" x14ac:dyDescent="0.25">
      <c r="A24" s="196"/>
      <c r="B24" s="197">
        <v>33543</v>
      </c>
      <c r="C24" s="198">
        <v>109.995</v>
      </c>
      <c r="D24" s="199">
        <v>108.40471519198664</v>
      </c>
      <c r="E24" s="199"/>
      <c r="F24" s="200">
        <v>116.54059505799293</v>
      </c>
      <c r="G24" s="200">
        <v>110.65217391304347</v>
      </c>
    </row>
    <row r="25" spans="1:7" ht="15" x14ac:dyDescent="0.25">
      <c r="A25" s="203"/>
      <c r="B25" s="204">
        <v>33573</v>
      </c>
      <c r="C25" s="205">
        <v>109.985</v>
      </c>
      <c r="D25" s="206">
        <v>108.50369883138565</v>
      </c>
      <c r="E25" s="206"/>
      <c r="F25" s="207">
        <v>116.38930912758447</v>
      </c>
      <c r="G25" s="207">
        <v>110.71580063626725</v>
      </c>
    </row>
    <row r="26" spans="1:7" ht="15" x14ac:dyDescent="0.25">
      <c r="A26" s="190">
        <v>1992</v>
      </c>
      <c r="B26" s="191">
        <v>33604</v>
      </c>
      <c r="C26" s="192">
        <v>110.655</v>
      </c>
      <c r="D26" s="208">
        <v>108.39609883138566</v>
      </c>
      <c r="E26" s="208"/>
      <c r="F26" s="194">
        <v>116.1875945537065</v>
      </c>
      <c r="G26" s="194">
        <v>111.63838812301168</v>
      </c>
    </row>
    <row r="27" spans="1:7" ht="15" x14ac:dyDescent="0.25">
      <c r="A27" s="196"/>
      <c r="B27" s="197">
        <v>33635</v>
      </c>
      <c r="C27" s="198">
        <v>110.84</v>
      </c>
      <c r="D27" s="199">
        <v>108.67799065108515</v>
      </c>
      <c r="E27" s="199"/>
      <c r="F27" s="200">
        <v>116.23802319717601</v>
      </c>
      <c r="G27" s="200">
        <v>111.72322375397667</v>
      </c>
    </row>
    <row r="28" spans="1:7" ht="15" x14ac:dyDescent="0.25">
      <c r="A28" s="196"/>
      <c r="B28" s="197">
        <v>33664</v>
      </c>
      <c r="C28" s="198">
        <v>110.86499999999999</v>
      </c>
      <c r="D28" s="199">
        <v>108.69635459098498</v>
      </c>
      <c r="E28" s="199"/>
      <c r="F28" s="200">
        <v>116.79273827534038</v>
      </c>
      <c r="G28" s="200">
        <v>112.32237539766703</v>
      </c>
    </row>
    <row r="29" spans="1:7" ht="15" x14ac:dyDescent="0.25">
      <c r="A29" s="196"/>
      <c r="B29" s="197">
        <v>33695</v>
      </c>
      <c r="C29" s="198">
        <v>111.48</v>
      </c>
      <c r="D29" s="199">
        <v>109.3070791318865</v>
      </c>
      <c r="E29" s="199"/>
      <c r="F29" s="200">
        <v>117.04488149268784</v>
      </c>
      <c r="G29" s="200">
        <v>112.63520678685049</v>
      </c>
    </row>
    <row r="30" spans="1:7" ht="15" x14ac:dyDescent="0.25">
      <c r="A30" s="196"/>
      <c r="B30" s="197">
        <v>33725</v>
      </c>
      <c r="C30" s="198">
        <v>111.485</v>
      </c>
      <c r="D30" s="199">
        <v>109.47235459098498</v>
      </c>
      <c r="E30" s="199"/>
      <c r="F30" s="200">
        <v>117.14573877962681</v>
      </c>
      <c r="G30" s="200">
        <v>112.75715800636267</v>
      </c>
    </row>
    <row r="31" spans="1:7" ht="15" x14ac:dyDescent="0.25">
      <c r="A31" s="196"/>
      <c r="B31" s="197">
        <v>33756</v>
      </c>
      <c r="C31" s="198">
        <v>111.485</v>
      </c>
      <c r="D31" s="199">
        <v>109.55151853088481</v>
      </c>
      <c r="E31" s="199"/>
      <c r="F31" s="200">
        <v>116.84316691880987</v>
      </c>
      <c r="G31" s="200">
        <v>112.48674443266174</v>
      </c>
    </row>
    <row r="32" spans="1:7" ht="15" x14ac:dyDescent="0.25">
      <c r="A32" s="196"/>
      <c r="B32" s="197">
        <v>33786</v>
      </c>
      <c r="C32" s="198">
        <v>112.005</v>
      </c>
      <c r="D32" s="199">
        <v>110.03937429048416</v>
      </c>
      <c r="E32" s="199"/>
      <c r="F32" s="200">
        <v>116.69188098840139</v>
      </c>
      <c r="G32" s="200">
        <v>112.41251325556733</v>
      </c>
    </row>
    <row r="33" spans="1:7" ht="15" x14ac:dyDescent="0.25">
      <c r="A33" s="196"/>
      <c r="B33" s="197">
        <v>33817</v>
      </c>
      <c r="C33" s="198">
        <v>112.11</v>
      </c>
      <c r="D33" s="199">
        <v>110.27628580968279</v>
      </c>
      <c r="E33" s="199"/>
      <c r="F33" s="200">
        <v>116.74230963187088</v>
      </c>
      <c r="G33" s="200">
        <v>112.5556733828208</v>
      </c>
    </row>
    <row r="34" spans="1:7" ht="15" x14ac:dyDescent="0.25">
      <c r="A34" s="196"/>
      <c r="B34" s="197">
        <v>33848</v>
      </c>
      <c r="C34" s="198">
        <v>112.075</v>
      </c>
      <c r="D34" s="199">
        <v>110.23955792988313</v>
      </c>
      <c r="E34" s="199"/>
      <c r="F34" s="200">
        <v>118.45688350983359</v>
      </c>
      <c r="G34" s="200">
        <v>114.42735949098622</v>
      </c>
    </row>
    <row r="35" spans="1:7" ht="15" x14ac:dyDescent="0.25">
      <c r="A35" s="196"/>
      <c r="B35" s="197">
        <v>33878</v>
      </c>
      <c r="C35" s="198">
        <v>112.33499999999999</v>
      </c>
      <c r="D35" s="199">
        <v>110.85930550918198</v>
      </c>
      <c r="E35" s="199"/>
      <c r="F35" s="200">
        <v>118.65859808371155</v>
      </c>
      <c r="G35" s="200">
        <v>114.73488865323435</v>
      </c>
    </row>
    <row r="36" spans="1:7" ht="15" x14ac:dyDescent="0.25">
      <c r="A36" s="196"/>
      <c r="B36" s="197">
        <v>33909</v>
      </c>
      <c r="C36" s="198">
        <v>111.76</v>
      </c>
      <c r="D36" s="199">
        <v>110.91439732888148</v>
      </c>
      <c r="E36" s="199"/>
      <c r="F36" s="200">
        <v>118.10388300554713</v>
      </c>
      <c r="G36" s="200">
        <v>114.06150583244963</v>
      </c>
    </row>
    <row r="37" spans="1:7" ht="15" x14ac:dyDescent="0.25">
      <c r="A37" s="203"/>
      <c r="B37" s="204">
        <v>33939</v>
      </c>
      <c r="C37" s="205">
        <v>112.43</v>
      </c>
      <c r="D37" s="206">
        <v>111.2633121869783</v>
      </c>
      <c r="E37" s="206"/>
      <c r="F37" s="207">
        <v>118.55774079677255</v>
      </c>
      <c r="G37" s="207">
        <v>113.98197242841994</v>
      </c>
    </row>
    <row r="38" spans="1:7" ht="15" x14ac:dyDescent="0.25">
      <c r="A38" s="190">
        <v>1993</v>
      </c>
      <c r="B38" s="191">
        <v>33970</v>
      </c>
      <c r="C38" s="192">
        <v>111.79</v>
      </c>
      <c r="D38" s="208">
        <v>110.34829248747914</v>
      </c>
      <c r="E38" s="208"/>
      <c r="F38" s="194">
        <v>121.78517397881996</v>
      </c>
      <c r="G38" s="194">
        <v>116.63838812301167</v>
      </c>
    </row>
    <row r="39" spans="1:7" ht="15" x14ac:dyDescent="0.25">
      <c r="A39" s="196"/>
      <c r="B39" s="197">
        <v>34001</v>
      </c>
      <c r="C39" s="198">
        <v>112.145</v>
      </c>
      <c r="D39" s="199">
        <v>110.65814824707846</v>
      </c>
      <c r="E39" s="199"/>
      <c r="F39" s="200">
        <v>122.08774583963691</v>
      </c>
      <c r="G39" s="200">
        <v>117.16330858960764</v>
      </c>
    </row>
    <row r="40" spans="1:7" ht="15" x14ac:dyDescent="0.25">
      <c r="A40" s="196"/>
      <c r="B40" s="197">
        <v>34029</v>
      </c>
      <c r="C40" s="198">
        <v>112.7</v>
      </c>
      <c r="D40" s="199">
        <v>111.1596040066778</v>
      </c>
      <c r="E40" s="199"/>
      <c r="F40" s="200">
        <v>122.64246091780129</v>
      </c>
      <c r="G40" s="200">
        <v>117.62990455991516</v>
      </c>
    </row>
    <row r="41" spans="1:7" ht="15" x14ac:dyDescent="0.25">
      <c r="A41" s="196"/>
      <c r="B41" s="197">
        <v>34060</v>
      </c>
      <c r="C41" s="198">
        <v>112.5</v>
      </c>
      <c r="D41" s="199">
        <v>110.8542203672788</v>
      </c>
      <c r="E41" s="199"/>
      <c r="F41" s="200">
        <v>123.14674735249621</v>
      </c>
      <c r="G41" s="200">
        <v>118.16542948038177</v>
      </c>
    </row>
    <row r="42" spans="1:7" ht="15" x14ac:dyDescent="0.25">
      <c r="A42" s="196"/>
      <c r="B42" s="197">
        <v>34090</v>
      </c>
      <c r="C42" s="198">
        <v>112.575</v>
      </c>
      <c r="D42" s="199">
        <v>111.26105976627713</v>
      </c>
      <c r="E42" s="199"/>
      <c r="F42" s="200">
        <v>122.84417549167928</v>
      </c>
      <c r="G42" s="200">
        <v>118.14422057264051</v>
      </c>
    </row>
    <row r="43" spans="1:7" ht="15" x14ac:dyDescent="0.25">
      <c r="A43" s="196"/>
      <c r="B43" s="197">
        <v>34121</v>
      </c>
      <c r="C43" s="198">
        <v>112.45</v>
      </c>
      <c r="D43" s="199">
        <v>111.22433188647747</v>
      </c>
      <c r="E43" s="199"/>
      <c r="F43" s="200">
        <v>122.44074634392335</v>
      </c>
      <c r="G43" s="200">
        <v>117.73594909862143</v>
      </c>
    </row>
    <row r="44" spans="1:7" ht="15" x14ac:dyDescent="0.25">
      <c r="A44" s="196"/>
      <c r="B44" s="197">
        <v>34151</v>
      </c>
      <c r="C44" s="198">
        <v>112.515</v>
      </c>
      <c r="D44" s="199">
        <v>110.4301449081803</v>
      </c>
      <c r="E44" s="199"/>
      <c r="F44" s="200">
        <v>122.23903177004539</v>
      </c>
      <c r="G44" s="200">
        <v>117.6405090137858</v>
      </c>
    </row>
    <row r="45" spans="1:7" ht="15" x14ac:dyDescent="0.25">
      <c r="A45" s="196"/>
      <c r="B45" s="197">
        <v>34182</v>
      </c>
      <c r="C45" s="198">
        <v>112.52500000000001</v>
      </c>
      <c r="D45" s="199">
        <v>110.35701368948249</v>
      </c>
      <c r="E45" s="199"/>
      <c r="F45" s="200">
        <v>122.33988905698436</v>
      </c>
      <c r="G45" s="200">
        <v>117.75715800636269</v>
      </c>
    </row>
    <row r="46" spans="1:7" ht="15" x14ac:dyDescent="0.25">
      <c r="A46" s="196"/>
      <c r="B46" s="197">
        <v>34213</v>
      </c>
      <c r="C46" s="198">
        <v>112.68</v>
      </c>
      <c r="D46" s="199">
        <v>110.48556126878131</v>
      </c>
      <c r="E46" s="199"/>
      <c r="F46" s="200">
        <v>123.44931921331317</v>
      </c>
      <c r="G46" s="200">
        <v>118.796394485684</v>
      </c>
    </row>
    <row r="47" spans="1:7" ht="15" x14ac:dyDescent="0.25">
      <c r="A47" s="196"/>
      <c r="B47" s="197">
        <v>34243</v>
      </c>
      <c r="C47" s="198">
        <v>112.89</v>
      </c>
      <c r="D47" s="199">
        <v>111.0237449081803</v>
      </c>
      <c r="E47" s="199"/>
      <c r="F47" s="200">
        <v>123.80231971759959</v>
      </c>
      <c r="G47" s="200">
        <v>119.17285259809121</v>
      </c>
    </row>
    <row r="48" spans="1:7" ht="15" x14ac:dyDescent="0.25">
      <c r="A48" s="196"/>
      <c r="B48" s="197">
        <v>34274</v>
      </c>
      <c r="C48" s="198">
        <v>112.9</v>
      </c>
      <c r="D48" s="199">
        <v>110.89378096828047</v>
      </c>
      <c r="E48" s="199"/>
      <c r="F48" s="200">
        <v>123.85274836106908</v>
      </c>
      <c r="G48" s="200">
        <v>119.16224814422058</v>
      </c>
    </row>
    <row r="49" spans="1:7" ht="15" x14ac:dyDescent="0.25">
      <c r="A49" s="203"/>
      <c r="B49" s="204">
        <v>34304</v>
      </c>
      <c r="C49" s="205">
        <v>114.22499999999999</v>
      </c>
      <c r="D49" s="206">
        <v>113.0113121869783</v>
      </c>
      <c r="E49" s="206"/>
      <c r="F49" s="207">
        <v>123.39889056984366</v>
      </c>
      <c r="G49" s="207">
        <v>118.48886532343586</v>
      </c>
    </row>
    <row r="50" spans="1:7" ht="15" x14ac:dyDescent="0.25">
      <c r="A50" s="190">
        <v>1994</v>
      </c>
      <c r="B50" s="191">
        <v>34335</v>
      </c>
      <c r="C50" s="192">
        <v>112.955</v>
      </c>
      <c r="D50" s="208">
        <v>110.08581035058431</v>
      </c>
      <c r="E50" s="208"/>
      <c r="F50" s="194">
        <v>123.7518910741301</v>
      </c>
      <c r="G50" s="194">
        <v>118.26086956521739</v>
      </c>
    </row>
    <row r="51" spans="1:7" ht="15" x14ac:dyDescent="0.25">
      <c r="A51" s="196"/>
      <c r="B51" s="197">
        <v>34366</v>
      </c>
      <c r="C51" s="198">
        <v>112.9</v>
      </c>
      <c r="D51" s="199">
        <v>109.96701035058432</v>
      </c>
      <c r="E51" s="199"/>
      <c r="F51" s="200">
        <v>124.15532022188603</v>
      </c>
      <c r="G51" s="200">
        <v>118.5471898197243</v>
      </c>
    </row>
    <row r="52" spans="1:7" ht="15" x14ac:dyDescent="0.25">
      <c r="A52" s="196"/>
      <c r="B52" s="197">
        <v>34394</v>
      </c>
      <c r="C52" s="198">
        <v>113.18</v>
      </c>
      <c r="D52" s="199">
        <v>110.48083005008348</v>
      </c>
      <c r="E52" s="199"/>
      <c r="F52" s="200">
        <v>124.60917801311145</v>
      </c>
      <c r="G52" s="200">
        <v>118.85471898197244</v>
      </c>
    </row>
    <row r="53" spans="1:7" ht="15" x14ac:dyDescent="0.25">
      <c r="A53" s="196"/>
      <c r="B53" s="197">
        <v>34425</v>
      </c>
      <c r="C53" s="198">
        <v>113.58</v>
      </c>
      <c r="D53" s="199">
        <v>111.52949248747913</v>
      </c>
      <c r="E53" s="199"/>
      <c r="F53" s="200">
        <v>125.11346444780634</v>
      </c>
      <c r="G53" s="200">
        <v>119.26829268292683</v>
      </c>
    </row>
    <row r="54" spans="1:7" ht="15" x14ac:dyDescent="0.25">
      <c r="A54" s="196"/>
      <c r="B54" s="197">
        <v>34455</v>
      </c>
      <c r="C54" s="198">
        <v>113.815</v>
      </c>
      <c r="D54" s="199">
        <v>111.75258430717862</v>
      </c>
      <c r="E54" s="199"/>
      <c r="F54" s="200">
        <v>125.41603630862328</v>
      </c>
      <c r="G54" s="200">
        <v>119.48038176033936</v>
      </c>
    </row>
    <row r="55" spans="1:7" ht="15" x14ac:dyDescent="0.25">
      <c r="A55" s="196"/>
      <c r="B55" s="197">
        <v>34486</v>
      </c>
      <c r="C55" s="198">
        <v>115.265</v>
      </c>
      <c r="D55" s="199">
        <v>112.14822036727881</v>
      </c>
      <c r="E55" s="199"/>
      <c r="F55" s="200">
        <v>125.41603630862328</v>
      </c>
      <c r="G55" s="200">
        <v>119.39554612937435</v>
      </c>
    </row>
    <row r="56" spans="1:7" ht="15" x14ac:dyDescent="0.25">
      <c r="A56" s="196"/>
      <c r="B56" s="197">
        <v>34516</v>
      </c>
      <c r="C56" s="198">
        <v>115.79</v>
      </c>
      <c r="D56" s="199">
        <v>113.56131886477463</v>
      </c>
      <c r="E56" s="199"/>
      <c r="F56" s="200">
        <v>125.46646495209279</v>
      </c>
      <c r="G56" s="200">
        <v>119.50689289501591</v>
      </c>
    </row>
    <row r="57" spans="1:7" ht="15" x14ac:dyDescent="0.25">
      <c r="A57" s="196"/>
      <c r="B57" s="197">
        <v>34547</v>
      </c>
      <c r="C57" s="198">
        <v>116.03</v>
      </c>
      <c r="D57" s="199">
        <v>113.59804674457429</v>
      </c>
      <c r="E57" s="199"/>
      <c r="F57" s="200">
        <v>125.46646495209279</v>
      </c>
      <c r="G57" s="200">
        <v>119.63414634146341</v>
      </c>
    </row>
    <row r="58" spans="1:7" ht="15" x14ac:dyDescent="0.25">
      <c r="A58" s="196"/>
      <c r="B58" s="197">
        <v>34578</v>
      </c>
      <c r="C58" s="198">
        <v>116.13</v>
      </c>
      <c r="D58" s="199">
        <v>114.17339766277129</v>
      </c>
      <c r="E58" s="199"/>
      <c r="F58" s="200">
        <v>126.62632375189106</v>
      </c>
      <c r="G58" s="200">
        <v>120.67338282078472</v>
      </c>
    </row>
    <row r="59" spans="1:7" ht="15" x14ac:dyDescent="0.25">
      <c r="A59" s="196"/>
      <c r="B59" s="197">
        <v>34608</v>
      </c>
      <c r="C59" s="198">
        <v>116.33499999999999</v>
      </c>
      <c r="D59" s="199">
        <v>114.17259432387313</v>
      </c>
      <c r="E59" s="199"/>
      <c r="F59" s="200">
        <v>126.72718103883005</v>
      </c>
      <c r="G59" s="200">
        <v>120.68928950159068</v>
      </c>
    </row>
    <row r="60" spans="1:7" ht="15" x14ac:dyDescent="0.25">
      <c r="A60" s="196"/>
      <c r="B60" s="197">
        <v>34639</v>
      </c>
      <c r="C60" s="198">
        <v>116.41500000000001</v>
      </c>
      <c r="D60" s="199">
        <v>113.94171552587646</v>
      </c>
      <c r="E60" s="199"/>
      <c r="F60" s="200">
        <v>126.67675239536055</v>
      </c>
      <c r="G60" s="200">
        <v>120.4984093319194</v>
      </c>
    </row>
    <row r="61" spans="1:7" ht="15" x14ac:dyDescent="0.25">
      <c r="A61" s="203"/>
      <c r="B61" s="204">
        <v>34669</v>
      </c>
      <c r="C61" s="205">
        <v>117.86</v>
      </c>
      <c r="D61" s="206">
        <v>114.32379432387312</v>
      </c>
      <c r="E61" s="206"/>
      <c r="F61" s="207">
        <v>126.4246091780131</v>
      </c>
      <c r="G61" s="207">
        <v>120.10604453870626</v>
      </c>
    </row>
    <row r="62" spans="1:7" ht="15" x14ac:dyDescent="0.25">
      <c r="A62" s="190">
        <v>1995</v>
      </c>
      <c r="B62" s="191">
        <v>34700</v>
      </c>
      <c r="C62" s="192">
        <v>119.515</v>
      </c>
      <c r="D62" s="208">
        <v>115.88158464106844</v>
      </c>
      <c r="E62" s="208"/>
      <c r="F62" s="194">
        <v>126.87846696923853</v>
      </c>
      <c r="G62" s="194">
        <v>120.01590668080593</v>
      </c>
    </row>
    <row r="63" spans="1:7" ht="15" x14ac:dyDescent="0.25">
      <c r="A63" s="196"/>
      <c r="B63" s="197">
        <v>34731</v>
      </c>
      <c r="C63" s="198">
        <v>119.645</v>
      </c>
      <c r="D63" s="199">
        <v>116.04787646076795</v>
      </c>
      <c r="E63" s="199"/>
      <c r="F63" s="200">
        <v>127.33232476046395</v>
      </c>
      <c r="G63" s="200">
        <v>120.36055143160127</v>
      </c>
    </row>
    <row r="64" spans="1:7" ht="15" x14ac:dyDescent="0.25">
      <c r="A64" s="196"/>
      <c r="B64" s="197">
        <v>34759</v>
      </c>
      <c r="C64" s="198">
        <v>119.80500000000001</v>
      </c>
      <c r="D64" s="199">
        <v>116.65951585976629</v>
      </c>
      <c r="E64" s="199"/>
      <c r="F64" s="200">
        <v>127.83661119515884</v>
      </c>
      <c r="G64" s="200">
        <v>120.8218451749735</v>
      </c>
    </row>
    <row r="65" spans="1:7" ht="15" x14ac:dyDescent="0.25">
      <c r="A65" s="196"/>
      <c r="B65" s="197">
        <v>34790</v>
      </c>
      <c r="C65" s="198">
        <v>120.22</v>
      </c>
      <c r="D65" s="199">
        <v>117.05842404006677</v>
      </c>
      <c r="E65" s="199"/>
      <c r="F65" s="200">
        <v>128.69389813414017</v>
      </c>
      <c r="G65" s="200">
        <v>121.6967126193001</v>
      </c>
    </row>
    <row r="66" spans="1:7" ht="15" x14ac:dyDescent="0.25">
      <c r="A66" s="196"/>
      <c r="B66" s="197">
        <v>34820</v>
      </c>
      <c r="C66" s="198">
        <v>120.52500000000001</v>
      </c>
      <c r="D66" s="199">
        <v>117.52664373956594</v>
      </c>
      <c r="E66" s="199"/>
      <c r="F66" s="200">
        <v>128.84518406454865</v>
      </c>
      <c r="G66" s="200">
        <v>121.93001060445387</v>
      </c>
    </row>
    <row r="67" spans="1:7" ht="15" x14ac:dyDescent="0.25">
      <c r="A67" s="196"/>
      <c r="B67" s="197">
        <v>34851</v>
      </c>
      <c r="C67" s="198">
        <v>121.995</v>
      </c>
      <c r="D67" s="199">
        <v>118.05442737896493</v>
      </c>
      <c r="E67" s="199"/>
      <c r="F67" s="200">
        <v>128.69389813414017</v>
      </c>
      <c r="G67" s="200">
        <v>121.77094379639448</v>
      </c>
    </row>
    <row r="68" spans="1:7" ht="15" x14ac:dyDescent="0.25">
      <c r="A68" s="196"/>
      <c r="B68" s="197">
        <v>34881</v>
      </c>
      <c r="C68" s="198">
        <v>122.98</v>
      </c>
      <c r="D68" s="199">
        <v>118.89097495826378</v>
      </c>
      <c r="E68" s="199"/>
      <c r="F68" s="200">
        <v>128.59304084720119</v>
      </c>
      <c r="G68" s="200">
        <v>121.54825026511136</v>
      </c>
    </row>
    <row r="69" spans="1:7" ht="15" x14ac:dyDescent="0.25">
      <c r="A69" s="196"/>
      <c r="B69" s="197">
        <v>34912</v>
      </c>
      <c r="C69" s="198">
        <v>123.005</v>
      </c>
      <c r="D69" s="199">
        <v>118.36169616026712</v>
      </c>
      <c r="E69" s="199"/>
      <c r="F69" s="200">
        <v>128.39132627332324</v>
      </c>
      <c r="G69" s="200">
        <v>121.23541887592791</v>
      </c>
    </row>
    <row r="70" spans="1:7" ht="15" x14ac:dyDescent="0.25">
      <c r="A70" s="196"/>
      <c r="B70" s="197">
        <v>34943</v>
      </c>
      <c r="C70" s="198">
        <v>123.315</v>
      </c>
      <c r="D70" s="199">
        <v>118.74296828046745</v>
      </c>
      <c r="E70" s="199"/>
      <c r="F70" s="200">
        <v>129.24861321230458</v>
      </c>
      <c r="G70" s="200">
        <v>121.9406150583245</v>
      </c>
    </row>
    <row r="71" spans="1:7" ht="15" x14ac:dyDescent="0.25">
      <c r="A71" s="196"/>
      <c r="B71" s="197">
        <v>34973</v>
      </c>
      <c r="C71" s="198">
        <v>124.045</v>
      </c>
      <c r="D71" s="199">
        <v>120.07745375626044</v>
      </c>
      <c r="E71" s="199"/>
      <c r="F71" s="200">
        <v>129.5511850731215</v>
      </c>
      <c r="G71" s="200">
        <v>121.74443266171792</v>
      </c>
    </row>
    <row r="72" spans="1:7" ht="15" x14ac:dyDescent="0.25">
      <c r="A72" s="196"/>
      <c r="B72" s="197">
        <v>35004</v>
      </c>
      <c r="C72" s="198">
        <v>124.33499999999999</v>
      </c>
      <c r="D72" s="199">
        <v>120.38418163606009</v>
      </c>
      <c r="E72" s="199"/>
      <c r="F72" s="200">
        <v>129.50075642965203</v>
      </c>
      <c r="G72" s="200">
        <v>121.5694591728526</v>
      </c>
    </row>
    <row r="73" spans="1:7" ht="15" x14ac:dyDescent="0.25">
      <c r="A73" s="203"/>
      <c r="B73" s="204">
        <v>35034</v>
      </c>
      <c r="C73" s="205">
        <v>125.705</v>
      </c>
      <c r="D73" s="206">
        <v>120.8357161936561</v>
      </c>
      <c r="E73" s="206"/>
      <c r="F73" s="207">
        <v>129.0973272818961</v>
      </c>
      <c r="G73" s="207">
        <v>121.09756097560975</v>
      </c>
    </row>
    <row r="74" spans="1:7" ht="15" x14ac:dyDescent="0.25">
      <c r="A74" s="190">
        <v>1996</v>
      </c>
      <c r="B74" s="191">
        <v>35065</v>
      </c>
      <c r="C74" s="192">
        <v>126.66500000000001</v>
      </c>
      <c r="D74" s="208">
        <v>121.57844741235392</v>
      </c>
      <c r="E74" s="208"/>
      <c r="F74" s="194">
        <v>128.89561270801815</v>
      </c>
      <c r="G74" s="194">
        <v>121.20360551431601</v>
      </c>
    </row>
    <row r="75" spans="1:7" ht="15" x14ac:dyDescent="0.25">
      <c r="A75" s="196"/>
      <c r="B75" s="197">
        <v>35096</v>
      </c>
      <c r="C75" s="198">
        <v>127.005</v>
      </c>
      <c r="D75" s="199">
        <v>122.16998196994993</v>
      </c>
      <c r="E75" s="199"/>
      <c r="F75" s="200">
        <v>129.04689863842663</v>
      </c>
      <c r="G75" s="200">
        <v>121.29374337221633</v>
      </c>
    </row>
    <row r="76" spans="1:7" ht="15" x14ac:dyDescent="0.25">
      <c r="A76" s="196"/>
      <c r="B76" s="197">
        <v>35125</v>
      </c>
      <c r="C76" s="198">
        <v>128.02000000000001</v>
      </c>
      <c r="D76" s="199">
        <v>122.69744106844742</v>
      </c>
      <c r="E76" s="199"/>
      <c r="F76" s="200">
        <v>129.65204236006051</v>
      </c>
      <c r="G76" s="200">
        <v>121.76564156945918</v>
      </c>
    </row>
    <row r="77" spans="1:7" ht="15" x14ac:dyDescent="0.25">
      <c r="A77" s="196"/>
      <c r="B77" s="197">
        <v>35156</v>
      </c>
      <c r="C77" s="198">
        <v>129.15</v>
      </c>
      <c r="D77" s="199">
        <v>124.19260834724543</v>
      </c>
      <c r="E77" s="199"/>
      <c r="F77" s="200">
        <v>130.00504286434696</v>
      </c>
      <c r="G77" s="200">
        <v>122.49734888653234</v>
      </c>
    </row>
    <row r="78" spans="1:7" ht="15" x14ac:dyDescent="0.25">
      <c r="A78" s="196"/>
      <c r="B78" s="197">
        <v>35186</v>
      </c>
      <c r="C78" s="198">
        <v>129.005</v>
      </c>
      <c r="D78" s="199">
        <v>124.14617228714523</v>
      </c>
      <c r="E78" s="199"/>
      <c r="F78" s="200">
        <v>129.85375693393848</v>
      </c>
      <c r="G78" s="200">
        <v>122.26935312831388</v>
      </c>
    </row>
    <row r="79" spans="1:7" ht="15" x14ac:dyDescent="0.25">
      <c r="A79" s="196"/>
      <c r="B79" s="197">
        <v>35217</v>
      </c>
      <c r="C79" s="198">
        <v>129.58000000000001</v>
      </c>
      <c r="D79" s="199">
        <v>124.00290016694491</v>
      </c>
      <c r="E79" s="199"/>
      <c r="F79" s="200">
        <v>129.39989914271305</v>
      </c>
      <c r="G79" s="200">
        <v>121.85047720042419</v>
      </c>
    </row>
    <row r="80" spans="1:7" ht="15" x14ac:dyDescent="0.25">
      <c r="A80" s="196"/>
      <c r="B80" s="197">
        <v>35247</v>
      </c>
      <c r="C80" s="198">
        <v>131.09</v>
      </c>
      <c r="D80" s="199">
        <v>124.51882804674456</v>
      </c>
      <c r="E80" s="199"/>
      <c r="F80" s="200">
        <v>129.0973272818961</v>
      </c>
      <c r="G80" s="200">
        <v>121.67550371155886</v>
      </c>
    </row>
    <row r="81" spans="1:7" ht="15" x14ac:dyDescent="0.25">
      <c r="A81" s="196"/>
      <c r="B81" s="197">
        <v>35278</v>
      </c>
      <c r="C81" s="198">
        <v>131.08500000000001</v>
      </c>
      <c r="D81" s="199">
        <v>124.16344106844741</v>
      </c>
      <c r="E81" s="199"/>
      <c r="F81" s="200">
        <v>128.54261220373172</v>
      </c>
      <c r="G81" s="200">
        <v>121.06574761399789</v>
      </c>
    </row>
    <row r="82" spans="1:7" ht="15" x14ac:dyDescent="0.25">
      <c r="A82" s="196"/>
      <c r="B82" s="197">
        <v>35309</v>
      </c>
      <c r="C82" s="198">
        <v>131.15</v>
      </c>
      <c r="D82" s="199">
        <v>124.43424440734557</v>
      </c>
      <c r="E82" s="199"/>
      <c r="F82" s="200">
        <v>129.24861321230458</v>
      </c>
      <c r="G82" s="200">
        <v>121.1611876988335</v>
      </c>
    </row>
    <row r="83" spans="1:7" ht="15" x14ac:dyDescent="0.25">
      <c r="A83" s="196"/>
      <c r="B83" s="197">
        <v>35339</v>
      </c>
      <c r="C83" s="198">
        <v>131.63999999999999</v>
      </c>
      <c r="D83" s="199">
        <v>125.02072320534224</v>
      </c>
      <c r="E83" s="199"/>
      <c r="F83" s="200">
        <v>129.29904185577405</v>
      </c>
      <c r="G83" s="200">
        <v>121.05514316012727</v>
      </c>
    </row>
    <row r="84" spans="1:7" ht="15" x14ac:dyDescent="0.25">
      <c r="A84" s="196"/>
      <c r="B84" s="197">
        <v>35370</v>
      </c>
      <c r="C84" s="198">
        <v>131.66999999999999</v>
      </c>
      <c r="D84" s="199">
        <v>125.48843806343906</v>
      </c>
      <c r="E84" s="199"/>
      <c r="F84" s="200">
        <v>129.04689863842663</v>
      </c>
      <c r="G84" s="200">
        <v>120.49310710498409</v>
      </c>
    </row>
    <row r="85" spans="1:7" ht="15" x14ac:dyDescent="0.25">
      <c r="A85" s="203"/>
      <c r="B85" s="204">
        <v>35400</v>
      </c>
      <c r="C85" s="205">
        <v>132.12</v>
      </c>
      <c r="D85" s="206">
        <v>125.7271692821369</v>
      </c>
      <c r="E85" s="206"/>
      <c r="F85" s="207">
        <v>128.84518406454865</v>
      </c>
      <c r="G85" s="207">
        <v>120.21208907741251</v>
      </c>
    </row>
    <row r="86" spans="1:7" ht="15" x14ac:dyDescent="0.25">
      <c r="A86" s="190">
        <v>1997</v>
      </c>
      <c r="B86" s="191">
        <v>35431</v>
      </c>
      <c r="C86" s="192">
        <v>132.375</v>
      </c>
      <c r="D86" s="208">
        <v>125.85502504173623</v>
      </c>
      <c r="E86" s="208"/>
      <c r="F86" s="194">
        <v>128.84518406454865</v>
      </c>
      <c r="G86" s="194">
        <v>119.62884411452809</v>
      </c>
    </row>
    <row r="87" spans="1:7" ht="15" x14ac:dyDescent="0.25">
      <c r="A87" s="196"/>
      <c r="B87" s="197">
        <v>35462</v>
      </c>
      <c r="C87" s="198">
        <v>132.51</v>
      </c>
      <c r="D87" s="199">
        <v>126.1357529215359</v>
      </c>
      <c r="E87" s="199"/>
      <c r="F87" s="200">
        <v>128.79475542107917</v>
      </c>
      <c r="G87" s="200">
        <v>119.44326617179215</v>
      </c>
    </row>
    <row r="88" spans="1:7" ht="15" x14ac:dyDescent="0.25">
      <c r="A88" s="196"/>
      <c r="B88" s="197">
        <v>35490</v>
      </c>
      <c r="C88" s="198">
        <v>133.11500000000001</v>
      </c>
      <c r="D88" s="199">
        <v>126.1422611018364</v>
      </c>
      <c r="E88" s="199"/>
      <c r="F88" s="200">
        <v>129.29904185577405</v>
      </c>
      <c r="G88" s="200">
        <v>119.77730646871687</v>
      </c>
    </row>
    <row r="89" spans="1:7" ht="15" x14ac:dyDescent="0.25">
      <c r="A89" s="196"/>
      <c r="B89" s="197">
        <v>35521</v>
      </c>
      <c r="C89" s="198">
        <v>134.37</v>
      </c>
      <c r="D89" s="199">
        <v>127.55844474123541</v>
      </c>
      <c r="E89" s="199"/>
      <c r="F89" s="200">
        <v>129.95461422087743</v>
      </c>
      <c r="G89" s="200">
        <v>120.34464475079534</v>
      </c>
    </row>
    <row r="90" spans="1:7" ht="15" x14ac:dyDescent="0.25">
      <c r="A90" s="196"/>
      <c r="B90" s="197">
        <v>35551</v>
      </c>
      <c r="C90" s="198">
        <v>134.52000000000001</v>
      </c>
      <c r="D90" s="199">
        <v>127.6663692821369</v>
      </c>
      <c r="E90" s="199"/>
      <c r="F90" s="200">
        <v>129.95461422087743</v>
      </c>
      <c r="G90" s="200">
        <v>120.20148462354187</v>
      </c>
    </row>
    <row r="91" spans="1:7" ht="15" x14ac:dyDescent="0.25">
      <c r="A91" s="196"/>
      <c r="B91" s="197">
        <v>35582</v>
      </c>
      <c r="C91" s="198">
        <v>135.11500000000001</v>
      </c>
      <c r="D91" s="199">
        <v>127.30272988313857</v>
      </c>
      <c r="E91" s="199"/>
      <c r="F91" s="200">
        <v>130.10590015128591</v>
      </c>
      <c r="G91" s="200">
        <v>120.25980911983034</v>
      </c>
    </row>
    <row r="92" spans="1:7" ht="15" x14ac:dyDescent="0.25">
      <c r="A92" s="196"/>
      <c r="B92" s="197">
        <v>35612</v>
      </c>
      <c r="C92" s="198">
        <v>135.42500000000001</v>
      </c>
      <c r="D92" s="199">
        <v>127.67571352253755</v>
      </c>
      <c r="E92" s="199"/>
      <c r="F92" s="200">
        <v>129.90418557740796</v>
      </c>
      <c r="G92" s="200">
        <v>119.11452810180276</v>
      </c>
    </row>
    <row r="93" spans="1:7" ht="15" x14ac:dyDescent="0.25">
      <c r="A93" s="196"/>
      <c r="B93" s="197">
        <v>35643</v>
      </c>
      <c r="C93" s="198">
        <v>135.6</v>
      </c>
      <c r="D93" s="199">
        <v>127.73080534223708</v>
      </c>
      <c r="E93" s="199"/>
      <c r="F93" s="200">
        <v>129.95461422087743</v>
      </c>
      <c r="G93" s="200">
        <v>118.60551431601272</v>
      </c>
    </row>
    <row r="94" spans="1:7" ht="15" x14ac:dyDescent="0.25">
      <c r="A94" s="196"/>
      <c r="B94" s="197">
        <v>35674</v>
      </c>
      <c r="C94" s="198">
        <v>135.54499999999999</v>
      </c>
      <c r="D94" s="199">
        <v>127.73080534223708</v>
      </c>
      <c r="E94" s="199"/>
      <c r="F94" s="200">
        <v>131.16490166414522</v>
      </c>
      <c r="G94" s="200">
        <v>119.57582184517499</v>
      </c>
    </row>
    <row r="95" spans="1:7" ht="15" x14ac:dyDescent="0.25">
      <c r="A95" s="196"/>
      <c r="B95" s="197">
        <v>35704</v>
      </c>
      <c r="C95" s="198">
        <v>135.69999999999999</v>
      </c>
      <c r="D95" s="199">
        <v>128.29735626043407</v>
      </c>
      <c r="E95" s="199"/>
      <c r="F95" s="200">
        <v>131.26575895108422</v>
      </c>
      <c r="G95" s="200">
        <v>119.41145281018028</v>
      </c>
    </row>
    <row r="96" spans="1:7" ht="15" x14ac:dyDescent="0.25">
      <c r="A96" s="196"/>
      <c r="B96" s="197">
        <v>35735</v>
      </c>
      <c r="C96" s="198">
        <v>135.72499999999999</v>
      </c>
      <c r="D96" s="199">
        <v>128.47772020033389</v>
      </c>
      <c r="E96" s="199"/>
      <c r="F96" s="200">
        <v>131.06404437720622</v>
      </c>
      <c r="G96" s="200">
        <v>119.01908801696712</v>
      </c>
    </row>
    <row r="97" spans="1:7" ht="15" x14ac:dyDescent="0.25">
      <c r="A97" s="203"/>
      <c r="B97" s="204">
        <v>35765</v>
      </c>
      <c r="C97" s="205">
        <v>136.09</v>
      </c>
      <c r="D97" s="206">
        <v>128.71499565943239</v>
      </c>
      <c r="E97" s="206"/>
      <c r="F97" s="207">
        <v>130.96318709026727</v>
      </c>
      <c r="G97" s="207">
        <v>118.77518557794274</v>
      </c>
    </row>
    <row r="98" spans="1:7" ht="15" x14ac:dyDescent="0.25">
      <c r="A98" s="190">
        <v>1998</v>
      </c>
      <c r="B98" s="191">
        <v>35796</v>
      </c>
      <c r="C98" s="192">
        <v>136.495</v>
      </c>
      <c r="D98" s="208">
        <v>129.11928747913188</v>
      </c>
      <c r="E98" s="208"/>
      <c r="F98" s="194">
        <v>129.70247100352998</v>
      </c>
      <c r="G98" s="194">
        <v>117.09437963944858</v>
      </c>
    </row>
    <row r="99" spans="1:7" ht="15" x14ac:dyDescent="0.25">
      <c r="A99" s="196"/>
      <c r="B99" s="197">
        <v>35827</v>
      </c>
      <c r="C99" s="198">
        <v>136.56</v>
      </c>
      <c r="D99" s="199">
        <v>129.22765141903173</v>
      </c>
      <c r="E99" s="199"/>
      <c r="F99" s="200">
        <v>129.5511850731215</v>
      </c>
      <c r="G99" s="200">
        <v>116.80275715800636</v>
      </c>
    </row>
    <row r="100" spans="1:7" ht="15" x14ac:dyDescent="0.25">
      <c r="A100" s="196"/>
      <c r="B100" s="197">
        <v>35855</v>
      </c>
      <c r="C100" s="198">
        <v>136.685</v>
      </c>
      <c r="D100" s="199">
        <v>129.38685141903173</v>
      </c>
      <c r="E100" s="199"/>
      <c r="F100" s="200">
        <v>129.75289964699951</v>
      </c>
      <c r="G100" s="200">
        <v>116.9034994697773</v>
      </c>
    </row>
    <row r="101" spans="1:7" ht="15" x14ac:dyDescent="0.25">
      <c r="A101" s="196"/>
      <c r="B101" s="197">
        <v>35886</v>
      </c>
      <c r="C101" s="198">
        <v>137.47499999999999</v>
      </c>
      <c r="D101" s="199">
        <v>129.72277262103506</v>
      </c>
      <c r="E101" s="199"/>
      <c r="F101" s="200">
        <v>130.10590015128591</v>
      </c>
      <c r="G101" s="200">
        <v>117.26935312831388</v>
      </c>
    </row>
    <row r="102" spans="1:7" ht="15" x14ac:dyDescent="0.25">
      <c r="A102" s="196"/>
      <c r="B102" s="197">
        <v>35916</v>
      </c>
      <c r="C102" s="198">
        <v>137.85</v>
      </c>
      <c r="D102" s="199">
        <v>130.12786444073458</v>
      </c>
      <c r="E102" s="199"/>
      <c r="F102" s="200">
        <v>130.35804336863336</v>
      </c>
      <c r="G102" s="200">
        <v>117.96924708377519</v>
      </c>
    </row>
    <row r="103" spans="1:7" ht="15" x14ac:dyDescent="0.25">
      <c r="A103" s="196"/>
      <c r="B103" s="197">
        <v>35947</v>
      </c>
      <c r="C103" s="198">
        <v>138.39500000000001</v>
      </c>
      <c r="D103" s="199">
        <v>130.3871038397329</v>
      </c>
      <c r="E103" s="199"/>
      <c r="F103" s="200">
        <v>130.05547150781643</v>
      </c>
      <c r="G103" s="200">
        <v>117.61399787910922</v>
      </c>
    </row>
    <row r="104" spans="1:7" ht="15" x14ac:dyDescent="0.25">
      <c r="A104" s="196"/>
      <c r="B104" s="197">
        <v>35977</v>
      </c>
      <c r="C104" s="198">
        <v>138.4</v>
      </c>
      <c r="D104" s="199">
        <v>130.19157262103508</v>
      </c>
      <c r="E104" s="199"/>
      <c r="F104" s="200">
        <v>129.80332829046895</v>
      </c>
      <c r="G104" s="200">
        <v>117.25344644750794</v>
      </c>
    </row>
    <row r="105" spans="1:7" ht="15" x14ac:dyDescent="0.25">
      <c r="A105" s="196"/>
      <c r="B105" s="197">
        <v>36008</v>
      </c>
      <c r="C105" s="198">
        <v>138.42500000000001</v>
      </c>
      <c r="D105" s="199">
        <v>130.15993656093488</v>
      </c>
      <c r="E105" s="199"/>
      <c r="F105" s="200">
        <v>129.1477559253656</v>
      </c>
      <c r="G105" s="200">
        <v>116.97242841993638</v>
      </c>
    </row>
    <row r="106" spans="1:7" ht="15" x14ac:dyDescent="0.25">
      <c r="A106" s="196"/>
      <c r="B106" s="197">
        <v>36039</v>
      </c>
      <c r="C106" s="198">
        <v>138.315</v>
      </c>
      <c r="D106" s="199">
        <v>129.7860447412354</v>
      </c>
      <c r="E106" s="199"/>
      <c r="F106" s="200">
        <v>129.65204236006051</v>
      </c>
      <c r="G106" s="200">
        <v>117.39660657476141</v>
      </c>
    </row>
    <row r="107" spans="1:7" ht="15" x14ac:dyDescent="0.25">
      <c r="A107" s="196"/>
      <c r="B107" s="197">
        <v>36069</v>
      </c>
      <c r="C107" s="198">
        <v>138.54</v>
      </c>
      <c r="D107" s="199">
        <v>130.23590050083473</v>
      </c>
      <c r="E107" s="199"/>
      <c r="F107" s="200">
        <v>129.90418557740796</v>
      </c>
      <c r="G107" s="200">
        <v>117.47083775185578</v>
      </c>
    </row>
    <row r="108" spans="1:7" ht="15" x14ac:dyDescent="0.25">
      <c r="A108" s="196"/>
      <c r="B108" s="197">
        <v>36100</v>
      </c>
      <c r="C108" s="198">
        <v>138.52500000000001</v>
      </c>
      <c r="D108" s="199">
        <v>130.30426444073456</v>
      </c>
      <c r="E108" s="199"/>
      <c r="F108" s="200">
        <v>129.60161371659103</v>
      </c>
      <c r="G108" s="200">
        <v>117.02545068928951</v>
      </c>
    </row>
    <row r="109" spans="1:7" ht="15" x14ac:dyDescent="0.25">
      <c r="A109" s="203"/>
      <c r="B109" s="204">
        <v>36130</v>
      </c>
      <c r="C109" s="205">
        <v>138.47499999999999</v>
      </c>
      <c r="D109" s="206">
        <v>130.38066777963272</v>
      </c>
      <c r="E109" s="206"/>
      <c r="F109" s="207">
        <v>129.39989914271305</v>
      </c>
      <c r="G109" s="207">
        <v>116.71261930010606</v>
      </c>
    </row>
    <row r="110" spans="1:7" ht="15" x14ac:dyDescent="0.25">
      <c r="A110" s="190">
        <v>1999</v>
      </c>
      <c r="B110" s="191">
        <v>36161</v>
      </c>
      <c r="C110" s="192">
        <v>138.84</v>
      </c>
      <c r="D110" s="208">
        <v>130.06433989983304</v>
      </c>
      <c r="E110" s="208"/>
      <c r="F110" s="194">
        <v>129.45032778618253</v>
      </c>
      <c r="G110" s="194">
        <v>115.5355249204666</v>
      </c>
    </row>
    <row r="111" spans="1:7" ht="15" x14ac:dyDescent="0.25">
      <c r="A111" s="196"/>
      <c r="B111" s="197">
        <v>36192</v>
      </c>
      <c r="C111" s="198">
        <v>138.85</v>
      </c>
      <c r="D111" s="199">
        <v>130.14553989983307</v>
      </c>
      <c r="E111" s="199"/>
      <c r="F111" s="200">
        <v>129.45032778618253</v>
      </c>
      <c r="G111" s="200">
        <v>115.45599151643691</v>
      </c>
    </row>
    <row r="112" spans="1:7" ht="15" x14ac:dyDescent="0.25">
      <c r="A112" s="196"/>
      <c r="B112" s="197">
        <v>36220</v>
      </c>
      <c r="C112" s="198">
        <v>138.91499999999999</v>
      </c>
      <c r="D112" s="199">
        <v>130.28019565943239</v>
      </c>
      <c r="E112" s="199"/>
      <c r="F112" s="200">
        <v>129.90418557740796</v>
      </c>
      <c r="G112" s="200">
        <v>115.93319194061506</v>
      </c>
    </row>
    <row r="113" spans="1:7" ht="15" x14ac:dyDescent="0.25">
      <c r="A113" s="196"/>
      <c r="B113" s="197">
        <v>36251</v>
      </c>
      <c r="C113" s="198">
        <v>139.745</v>
      </c>
      <c r="D113" s="199">
        <v>131.39899565943242</v>
      </c>
      <c r="E113" s="199"/>
      <c r="F113" s="200">
        <v>130.20675743822488</v>
      </c>
      <c r="G113" s="200">
        <v>115.83775185577943</v>
      </c>
    </row>
    <row r="114" spans="1:7" ht="15" x14ac:dyDescent="0.25">
      <c r="A114" s="196"/>
      <c r="B114" s="197">
        <v>36281</v>
      </c>
      <c r="C114" s="198">
        <v>140.005</v>
      </c>
      <c r="D114" s="199">
        <v>131.74427111853089</v>
      </c>
      <c r="E114" s="199"/>
      <c r="F114" s="200">
        <v>130.45890065557236</v>
      </c>
      <c r="G114" s="200">
        <v>116.08695652173913</v>
      </c>
    </row>
    <row r="115" spans="1:7" ht="15" x14ac:dyDescent="0.25">
      <c r="A115" s="196"/>
      <c r="B115" s="197">
        <v>36312</v>
      </c>
      <c r="C115" s="198">
        <v>140.12</v>
      </c>
      <c r="D115" s="199">
        <v>132.05645809682804</v>
      </c>
      <c r="E115" s="199"/>
      <c r="F115" s="200">
        <v>130.66061522945034</v>
      </c>
      <c r="G115" s="200">
        <v>116.22481442205725</v>
      </c>
    </row>
    <row r="116" spans="1:7" ht="15" x14ac:dyDescent="0.25">
      <c r="A116" s="196"/>
      <c r="B116" s="197">
        <v>36342</v>
      </c>
      <c r="C116" s="198">
        <v>140.20500000000001</v>
      </c>
      <c r="D116" s="199">
        <v>132.34700567612688</v>
      </c>
      <c r="E116" s="199"/>
      <c r="F116" s="200">
        <v>130.05547150781643</v>
      </c>
      <c r="G116" s="200">
        <v>115.58324496288441</v>
      </c>
    </row>
    <row r="117" spans="1:7" ht="15" x14ac:dyDescent="0.25">
      <c r="A117" s="196"/>
      <c r="B117" s="197">
        <v>36373</v>
      </c>
      <c r="C117" s="198">
        <v>140.16499999999999</v>
      </c>
      <c r="D117" s="199">
        <v>132.45755325542572</v>
      </c>
      <c r="E117" s="199"/>
      <c r="F117" s="200">
        <v>130.05547150781643</v>
      </c>
      <c r="G117" s="200">
        <v>115.62036055143162</v>
      </c>
    </row>
    <row r="118" spans="1:7" ht="15" x14ac:dyDescent="0.25">
      <c r="A118" s="196"/>
      <c r="B118" s="197">
        <v>36404</v>
      </c>
      <c r="C118" s="198">
        <v>140.38</v>
      </c>
      <c r="D118" s="199">
        <v>133.38181903171954</v>
      </c>
      <c r="E118" s="199"/>
      <c r="F118" s="200">
        <v>131.01361573373674</v>
      </c>
      <c r="G118" s="200">
        <v>116.46871686108167</v>
      </c>
    </row>
    <row r="119" spans="1:7" ht="15" x14ac:dyDescent="0.25">
      <c r="A119" s="196"/>
      <c r="B119" s="197">
        <v>36434</v>
      </c>
      <c r="C119" s="198">
        <v>140.44</v>
      </c>
      <c r="D119" s="199">
        <v>134.01284540901503</v>
      </c>
      <c r="E119" s="199"/>
      <c r="F119" s="200">
        <v>131.16490166414522</v>
      </c>
      <c r="G119" s="200">
        <v>116.49522799575823</v>
      </c>
    </row>
    <row r="120" spans="1:7" ht="15" x14ac:dyDescent="0.25">
      <c r="A120" s="196"/>
      <c r="B120" s="197">
        <v>36465</v>
      </c>
      <c r="C120" s="198">
        <v>141.11000000000001</v>
      </c>
      <c r="D120" s="199">
        <v>134.33506510851419</v>
      </c>
      <c r="E120" s="199"/>
      <c r="F120" s="200">
        <v>130.81190115985879</v>
      </c>
      <c r="G120" s="200">
        <v>116.04984093319194</v>
      </c>
    </row>
    <row r="121" spans="1:7" ht="15" x14ac:dyDescent="0.25">
      <c r="A121" s="203"/>
      <c r="B121" s="204">
        <v>36495</v>
      </c>
      <c r="C121" s="205">
        <v>142.495</v>
      </c>
      <c r="D121" s="206">
        <v>134.98532754590985</v>
      </c>
      <c r="E121" s="206"/>
      <c r="F121" s="207">
        <v>131.06404437720622</v>
      </c>
      <c r="G121" s="207">
        <v>116.26193001060446</v>
      </c>
    </row>
    <row r="122" spans="1:7" ht="15" x14ac:dyDescent="0.25">
      <c r="A122" s="190">
        <v>2000</v>
      </c>
      <c r="B122" s="191">
        <v>36526</v>
      </c>
      <c r="C122" s="192">
        <v>142.48500000000001</v>
      </c>
      <c r="D122" s="208">
        <v>135.30900300500835</v>
      </c>
      <c r="E122" s="208"/>
      <c r="F122" s="194">
        <v>130.00504286434696</v>
      </c>
      <c r="G122" s="194">
        <v>117.12619300106044</v>
      </c>
    </row>
    <row r="123" spans="1:7" ht="15" x14ac:dyDescent="0.25">
      <c r="A123" s="196"/>
      <c r="B123" s="197">
        <v>36557</v>
      </c>
      <c r="C123" s="198">
        <v>142.56</v>
      </c>
      <c r="D123" s="199">
        <v>135.32609482470784</v>
      </c>
      <c r="E123" s="199"/>
      <c r="F123" s="200">
        <v>130.61018658598081</v>
      </c>
      <c r="G123" s="200">
        <v>117.68292682926828</v>
      </c>
    </row>
    <row r="124" spans="1:7" ht="15" x14ac:dyDescent="0.25">
      <c r="A124" s="196"/>
      <c r="B124" s="197">
        <v>36586</v>
      </c>
      <c r="C124" s="198">
        <v>143.57</v>
      </c>
      <c r="D124" s="199">
        <v>136.5155572621035</v>
      </c>
      <c r="E124" s="199"/>
      <c r="F124" s="200">
        <v>131.26575895108422</v>
      </c>
      <c r="G124" s="200">
        <v>118.25026511134678</v>
      </c>
    </row>
    <row r="125" spans="1:7" ht="15" x14ac:dyDescent="0.25">
      <c r="A125" s="196"/>
      <c r="B125" s="197">
        <v>36617</v>
      </c>
      <c r="C125" s="198">
        <v>145.285</v>
      </c>
      <c r="D125" s="199">
        <v>138.25149515859766</v>
      </c>
      <c r="E125" s="199"/>
      <c r="F125" s="200">
        <v>131.16490166414522</v>
      </c>
      <c r="G125" s="200">
        <v>118.12301166489927</v>
      </c>
    </row>
    <row r="126" spans="1:7" ht="15" x14ac:dyDescent="0.25">
      <c r="A126" s="196"/>
      <c r="B126" s="197">
        <v>36647</v>
      </c>
      <c r="C126" s="198">
        <v>145.655</v>
      </c>
      <c r="D126" s="199">
        <v>138.76131151919867</v>
      </c>
      <c r="E126" s="199"/>
      <c r="F126" s="200">
        <v>131.77004538577913</v>
      </c>
      <c r="G126" s="200">
        <v>118.71155885471897</v>
      </c>
    </row>
    <row r="127" spans="1:7" ht="15" x14ac:dyDescent="0.25">
      <c r="A127" s="196"/>
      <c r="B127" s="197">
        <v>36678</v>
      </c>
      <c r="C127" s="198">
        <v>145.76499999999999</v>
      </c>
      <c r="D127" s="199">
        <v>138.38214090150251</v>
      </c>
      <c r="E127" s="199"/>
      <c r="F127" s="200">
        <v>131.7196167423096</v>
      </c>
      <c r="G127" s="200">
        <v>118.61611876988336</v>
      </c>
    </row>
    <row r="128" spans="1:7" ht="15" x14ac:dyDescent="0.25">
      <c r="A128" s="196"/>
      <c r="B128" s="197">
        <v>36708</v>
      </c>
      <c r="C128" s="198">
        <v>146.38999999999999</v>
      </c>
      <c r="D128" s="199">
        <v>138.95461969949918</v>
      </c>
      <c r="E128" s="199"/>
      <c r="F128" s="200">
        <v>131.11447302067575</v>
      </c>
      <c r="G128" s="200">
        <v>118.15482502651113</v>
      </c>
    </row>
    <row r="129" spans="1:7" ht="15" x14ac:dyDescent="0.25">
      <c r="A129" s="196"/>
      <c r="B129" s="197">
        <v>36739</v>
      </c>
      <c r="C129" s="198">
        <v>146.5</v>
      </c>
      <c r="D129" s="199">
        <v>139.33779031719533</v>
      </c>
      <c r="E129" s="199"/>
      <c r="F129" s="200">
        <v>131.21533030761472</v>
      </c>
      <c r="G129" s="200">
        <v>118.20254506892896</v>
      </c>
    </row>
    <row r="130" spans="1:7" ht="15" x14ac:dyDescent="0.25">
      <c r="A130" s="196"/>
      <c r="B130" s="197">
        <v>36770</v>
      </c>
      <c r="C130" s="198">
        <v>146.86000000000001</v>
      </c>
      <c r="D130" s="199">
        <v>140.06426577629384</v>
      </c>
      <c r="E130" s="199"/>
      <c r="F130" s="200">
        <v>132.12304589006555</v>
      </c>
      <c r="G130" s="200">
        <v>119.03499469777307</v>
      </c>
    </row>
    <row r="131" spans="1:7" ht="15" x14ac:dyDescent="0.25">
      <c r="A131" s="196"/>
      <c r="B131" s="197">
        <v>36800</v>
      </c>
      <c r="C131" s="198">
        <v>147.66999999999999</v>
      </c>
      <c r="D131" s="199">
        <v>140.8526003338898</v>
      </c>
      <c r="E131" s="199"/>
      <c r="F131" s="200">
        <v>132.42561775088251</v>
      </c>
      <c r="G131" s="200">
        <v>119.18875927889714</v>
      </c>
    </row>
    <row r="132" spans="1:7" ht="15" x14ac:dyDescent="0.25">
      <c r="A132" s="196"/>
      <c r="B132" s="197">
        <v>36831</v>
      </c>
      <c r="C132" s="198">
        <v>147.81</v>
      </c>
      <c r="D132" s="199">
        <v>141.92381702838063</v>
      </c>
      <c r="E132" s="199"/>
      <c r="F132" s="200">
        <v>132.47604639435198</v>
      </c>
      <c r="G132" s="200">
        <v>119.19936373276776</v>
      </c>
    </row>
    <row r="133" spans="1:7" ht="15" x14ac:dyDescent="0.25">
      <c r="A133" s="203"/>
      <c r="B133" s="204">
        <v>36861</v>
      </c>
      <c r="C133" s="205">
        <v>148.255</v>
      </c>
      <c r="D133" s="206">
        <v>141.57344974958264</v>
      </c>
      <c r="E133" s="206"/>
      <c r="F133" s="207">
        <v>132.37518910741301</v>
      </c>
      <c r="G133" s="207">
        <v>119.05620360551433</v>
      </c>
    </row>
    <row r="134" spans="1:7" ht="15" x14ac:dyDescent="0.25">
      <c r="A134" s="190">
        <v>2001</v>
      </c>
      <c r="B134" s="191">
        <v>36892</v>
      </c>
      <c r="C134" s="192">
        <v>150.47</v>
      </c>
      <c r="D134" s="208">
        <v>141.65228247078463</v>
      </c>
      <c r="E134" s="208"/>
      <c r="F134" s="194">
        <v>131.97175995965708</v>
      </c>
      <c r="G134" s="194">
        <v>118.8441145281018</v>
      </c>
    </row>
    <row r="135" spans="1:7" ht="15" x14ac:dyDescent="0.25">
      <c r="A135" s="196"/>
      <c r="B135" s="197">
        <v>36923</v>
      </c>
      <c r="C135" s="198">
        <v>150.63999999999999</v>
      </c>
      <c r="D135" s="199">
        <v>142.41908580968283</v>
      </c>
      <c r="E135" s="199"/>
      <c r="F135" s="200">
        <v>132.47604639435198</v>
      </c>
      <c r="G135" s="200">
        <v>119.26829268292683</v>
      </c>
    </row>
    <row r="136" spans="1:7" ht="15" x14ac:dyDescent="0.25">
      <c r="A136" s="196"/>
      <c r="B136" s="197">
        <v>36951</v>
      </c>
      <c r="C136" s="198">
        <v>151.15</v>
      </c>
      <c r="D136" s="199">
        <v>142.17100033388982</v>
      </c>
      <c r="E136" s="199"/>
      <c r="F136" s="200">
        <v>133.43419062027232</v>
      </c>
      <c r="G136" s="200">
        <v>120.20148462354187</v>
      </c>
    </row>
    <row r="137" spans="1:7" ht="15" x14ac:dyDescent="0.25">
      <c r="A137" s="196"/>
      <c r="B137" s="197">
        <v>36982</v>
      </c>
      <c r="C137" s="198">
        <v>152.81</v>
      </c>
      <c r="D137" s="199">
        <v>144.16598731218699</v>
      </c>
      <c r="E137" s="199"/>
      <c r="F137" s="200">
        <v>134.59404942007058</v>
      </c>
      <c r="G137" s="200">
        <v>121.35737009544007</v>
      </c>
    </row>
    <row r="138" spans="1:7" ht="15" x14ac:dyDescent="0.25">
      <c r="A138" s="196"/>
      <c r="B138" s="197">
        <v>37012</v>
      </c>
      <c r="C138" s="198">
        <v>152.97</v>
      </c>
      <c r="D138" s="199">
        <v>144.32863973288815</v>
      </c>
      <c r="E138" s="199"/>
      <c r="F138" s="200">
        <v>135.50176500252144</v>
      </c>
      <c r="G138" s="200">
        <v>122.24814422057264</v>
      </c>
    </row>
    <row r="139" spans="1:7" ht="15" x14ac:dyDescent="0.25">
      <c r="A139" s="196"/>
      <c r="B139" s="197">
        <v>37043</v>
      </c>
      <c r="C139" s="198">
        <v>153.35499999999999</v>
      </c>
      <c r="D139" s="199">
        <v>145.01581035058427</v>
      </c>
      <c r="E139" s="199"/>
      <c r="F139" s="200">
        <v>135.30005042864346</v>
      </c>
      <c r="G139" s="200">
        <v>122.05726405090138</v>
      </c>
    </row>
    <row r="140" spans="1:7" ht="15" x14ac:dyDescent="0.25">
      <c r="A140" s="196"/>
      <c r="B140" s="197">
        <v>37073</v>
      </c>
      <c r="C140" s="198">
        <v>154.56</v>
      </c>
      <c r="D140" s="199">
        <v>145.49574156928213</v>
      </c>
      <c r="E140" s="199"/>
      <c r="F140" s="200">
        <v>134.59404942007058</v>
      </c>
      <c r="G140" s="200">
        <v>121.42629904559914</v>
      </c>
    </row>
    <row r="141" spans="1:7" ht="15" x14ac:dyDescent="0.25">
      <c r="A141" s="196"/>
      <c r="B141" s="197">
        <v>37104</v>
      </c>
      <c r="C141" s="198">
        <v>154.47</v>
      </c>
      <c r="D141" s="199">
        <v>145.25792186978296</v>
      </c>
      <c r="E141" s="199"/>
      <c r="F141" s="200">
        <v>134.94704992435703</v>
      </c>
      <c r="G141" s="200">
        <v>121.65429480381759</v>
      </c>
    </row>
    <row r="142" spans="1:7" ht="15" x14ac:dyDescent="0.25">
      <c r="A142" s="196"/>
      <c r="B142" s="197">
        <v>37135</v>
      </c>
      <c r="C142" s="198">
        <v>154.59</v>
      </c>
      <c r="D142" s="199">
        <v>145.53646944908181</v>
      </c>
      <c r="E142" s="199"/>
      <c r="F142" s="200">
        <v>136.10690872415529</v>
      </c>
      <c r="G142" s="200">
        <v>123.30858960763523</v>
      </c>
    </row>
    <row r="143" spans="1:7" ht="15" x14ac:dyDescent="0.25">
      <c r="A143" s="196"/>
      <c r="B143" s="197">
        <v>37165</v>
      </c>
      <c r="C143" s="198">
        <v>154.86500000000001</v>
      </c>
      <c r="D143" s="199">
        <v>146.14374490818031</v>
      </c>
      <c r="E143" s="199"/>
      <c r="F143" s="200">
        <v>135.70347957639939</v>
      </c>
      <c r="G143" s="200">
        <v>122.85790031813362</v>
      </c>
    </row>
    <row r="144" spans="1:7" ht="15" x14ac:dyDescent="0.25">
      <c r="A144" s="196"/>
      <c r="B144" s="197">
        <v>37196</v>
      </c>
      <c r="C144" s="198">
        <v>154.535</v>
      </c>
      <c r="D144" s="199">
        <v>145.21308247078466</v>
      </c>
      <c r="E144" s="199"/>
      <c r="F144" s="200">
        <v>135.75390821986889</v>
      </c>
      <c r="G144" s="200">
        <v>122.83138918345706</v>
      </c>
    </row>
    <row r="145" spans="1:7" ht="15" x14ac:dyDescent="0.25">
      <c r="A145" s="203"/>
      <c r="B145" s="204">
        <v>37226</v>
      </c>
      <c r="C145" s="205">
        <v>154.96</v>
      </c>
      <c r="D145" s="206">
        <v>144.31790517529214</v>
      </c>
      <c r="E145" s="206"/>
      <c r="F145" s="207">
        <v>135.90519415027734</v>
      </c>
      <c r="G145" s="207">
        <v>123.0965005302227</v>
      </c>
    </row>
    <row r="146" spans="1:7" ht="15" x14ac:dyDescent="0.25">
      <c r="A146" s="190">
        <v>2002</v>
      </c>
      <c r="B146" s="191">
        <v>37257</v>
      </c>
      <c r="C146" s="192">
        <v>155.245</v>
      </c>
      <c r="D146" s="208">
        <v>144.75245275459099</v>
      </c>
      <c r="E146" s="208"/>
      <c r="F146" s="194">
        <v>135.55219364599091</v>
      </c>
      <c r="G146" s="194">
        <v>122.29056203605515</v>
      </c>
    </row>
    <row r="147" spans="1:7" ht="15" x14ac:dyDescent="0.25">
      <c r="A147" s="196"/>
      <c r="B147" s="197">
        <v>37288</v>
      </c>
      <c r="C147" s="198">
        <v>155.44499999999999</v>
      </c>
      <c r="D147" s="199">
        <v>144.95598063439064</v>
      </c>
      <c r="E147" s="199"/>
      <c r="F147" s="200">
        <v>135.90519415027734</v>
      </c>
      <c r="G147" s="200">
        <v>122.57158006362671</v>
      </c>
    </row>
    <row r="148" spans="1:7" ht="15" x14ac:dyDescent="0.25">
      <c r="A148" s="196"/>
      <c r="B148" s="197">
        <v>37316</v>
      </c>
      <c r="C148" s="198">
        <v>155.64500000000001</v>
      </c>
      <c r="D148" s="199">
        <v>145.30125609348914</v>
      </c>
      <c r="E148" s="199"/>
      <c r="F148" s="200">
        <v>137.06505295007565</v>
      </c>
      <c r="G148" s="200">
        <v>123.7168610816543</v>
      </c>
    </row>
    <row r="149" spans="1:7" ht="15" x14ac:dyDescent="0.25">
      <c r="A149" s="196"/>
      <c r="B149" s="197">
        <v>37347</v>
      </c>
      <c r="C149" s="198">
        <v>157.35499999999999</v>
      </c>
      <c r="D149" s="199">
        <v>147.63290550918197</v>
      </c>
      <c r="E149" s="199"/>
      <c r="F149" s="200">
        <v>137.61976802824003</v>
      </c>
      <c r="G149" s="200">
        <v>124.36373276776247</v>
      </c>
    </row>
    <row r="150" spans="1:7" ht="15" x14ac:dyDescent="0.25">
      <c r="A150" s="196"/>
      <c r="B150" s="197">
        <v>37377</v>
      </c>
      <c r="C150" s="198">
        <v>157.52000000000001</v>
      </c>
      <c r="D150" s="199">
        <v>148.63484006677797</v>
      </c>
      <c r="E150" s="199"/>
      <c r="F150" s="200">
        <v>137.97276853252646</v>
      </c>
      <c r="G150" s="200">
        <v>124.76139978791095</v>
      </c>
    </row>
    <row r="151" spans="1:7" ht="15" x14ac:dyDescent="0.25">
      <c r="A151" s="196"/>
      <c r="B151" s="197">
        <v>37408</v>
      </c>
      <c r="C151" s="198">
        <v>158.76499999999999</v>
      </c>
      <c r="D151" s="199">
        <v>148.60644340567612</v>
      </c>
      <c r="E151" s="199"/>
      <c r="F151" s="200">
        <v>137.77105395864851</v>
      </c>
      <c r="G151" s="200">
        <v>124.62354188759279</v>
      </c>
    </row>
    <row r="152" spans="1:7" ht="15" x14ac:dyDescent="0.25">
      <c r="A152" s="196"/>
      <c r="B152" s="197">
        <v>37438</v>
      </c>
      <c r="C152" s="198">
        <v>159.03</v>
      </c>
      <c r="D152" s="199">
        <v>148.74320400667779</v>
      </c>
      <c r="E152" s="199"/>
      <c r="F152" s="200">
        <v>137.31719616742308</v>
      </c>
      <c r="G152" s="200">
        <v>124.14634146341463</v>
      </c>
    </row>
    <row r="153" spans="1:7" ht="15" x14ac:dyDescent="0.25">
      <c r="A153" s="196"/>
      <c r="B153" s="197">
        <v>37469</v>
      </c>
      <c r="C153" s="198">
        <v>159.19</v>
      </c>
      <c r="D153" s="199">
        <v>148.78138430717863</v>
      </c>
      <c r="E153" s="199"/>
      <c r="F153" s="200">
        <v>137.36762481089258</v>
      </c>
      <c r="G153" s="200">
        <v>124.1675503711559</v>
      </c>
    </row>
    <row r="154" spans="1:7" ht="15" x14ac:dyDescent="0.25">
      <c r="A154" s="196"/>
      <c r="B154" s="197">
        <v>37500</v>
      </c>
      <c r="C154" s="198">
        <v>159.58000000000001</v>
      </c>
      <c r="D154" s="199">
        <v>149.10615158597662</v>
      </c>
      <c r="E154" s="199"/>
      <c r="F154" s="200">
        <v>138.42662632375189</v>
      </c>
      <c r="G154" s="200">
        <v>125.22799575821846</v>
      </c>
    </row>
    <row r="155" spans="1:7" ht="15" x14ac:dyDescent="0.25">
      <c r="A155" s="196"/>
      <c r="B155" s="197">
        <v>37530</v>
      </c>
      <c r="C155" s="198">
        <v>159.71</v>
      </c>
      <c r="D155" s="199">
        <v>149.76641402337228</v>
      </c>
      <c r="E155" s="199"/>
      <c r="F155" s="200">
        <v>138.88048411497729</v>
      </c>
      <c r="G155" s="200">
        <v>125.58324496288442</v>
      </c>
    </row>
    <row r="156" spans="1:7" ht="15" x14ac:dyDescent="0.25">
      <c r="A156" s="196"/>
      <c r="B156" s="197">
        <v>37561</v>
      </c>
      <c r="C156" s="198">
        <v>159.52500000000001</v>
      </c>
      <c r="D156" s="199">
        <v>149.6536861435726</v>
      </c>
      <c r="E156" s="199"/>
      <c r="F156" s="200">
        <v>138.52748361069084</v>
      </c>
      <c r="G156" s="200">
        <v>125.17497348886533</v>
      </c>
    </row>
    <row r="157" spans="1:7" ht="15" x14ac:dyDescent="0.25">
      <c r="A157" s="203"/>
      <c r="B157" s="204">
        <v>37591</v>
      </c>
      <c r="C157" s="205">
        <v>160.34</v>
      </c>
      <c r="D157" s="206">
        <v>149.30407946577628</v>
      </c>
      <c r="E157" s="206"/>
      <c r="F157" s="207">
        <v>138.72919818456884</v>
      </c>
      <c r="G157" s="207">
        <v>125.31283138918346</v>
      </c>
    </row>
    <row r="158" spans="1:7" ht="15" x14ac:dyDescent="0.25">
      <c r="A158" s="190">
        <v>2003</v>
      </c>
      <c r="B158" s="191">
        <v>37622</v>
      </c>
      <c r="C158" s="192">
        <v>162.72499999999999</v>
      </c>
      <c r="D158" s="208">
        <v>150.3026631051753</v>
      </c>
      <c r="E158" s="208"/>
      <c r="F158" s="194">
        <v>139.18305597579425</v>
      </c>
      <c r="G158" s="194">
        <v>125.15906680805939</v>
      </c>
    </row>
    <row r="159" spans="1:7" ht="15" x14ac:dyDescent="0.25">
      <c r="A159" s="196"/>
      <c r="B159" s="197">
        <v>37653</v>
      </c>
      <c r="C159" s="198">
        <v>162.81</v>
      </c>
      <c r="D159" s="199">
        <v>151.62344373956594</v>
      </c>
      <c r="E159" s="199"/>
      <c r="F159" s="200">
        <v>140.39334341906201</v>
      </c>
      <c r="G159" s="200">
        <v>126.28844114528101</v>
      </c>
    </row>
    <row r="160" spans="1:7" ht="15" x14ac:dyDescent="0.25">
      <c r="A160" s="196"/>
      <c r="B160" s="197">
        <v>37681</v>
      </c>
      <c r="C160" s="198">
        <v>163.595</v>
      </c>
      <c r="D160" s="199">
        <v>153.49651619365611</v>
      </c>
      <c r="E160" s="199"/>
      <c r="F160" s="200">
        <v>141.09934442763489</v>
      </c>
      <c r="G160" s="200">
        <v>126.96182396606575</v>
      </c>
    </row>
    <row r="161" spans="1:7" ht="15" x14ac:dyDescent="0.25">
      <c r="A161" s="196"/>
      <c r="B161" s="197">
        <v>37712</v>
      </c>
      <c r="C161" s="198">
        <v>164.29</v>
      </c>
      <c r="D161" s="199">
        <v>153.15762404006679</v>
      </c>
      <c r="E161" s="199"/>
      <c r="F161" s="200">
        <v>140.59505799293999</v>
      </c>
      <c r="G161" s="200">
        <v>126.52704135737009</v>
      </c>
    </row>
    <row r="162" spans="1:7" ht="15" x14ac:dyDescent="0.25">
      <c r="A162" s="196"/>
      <c r="B162" s="197">
        <v>37742</v>
      </c>
      <c r="C162" s="198">
        <v>164.2</v>
      </c>
      <c r="D162" s="199">
        <v>151.89665976627714</v>
      </c>
      <c r="E162" s="199"/>
      <c r="F162" s="200">
        <v>140.44377206253151</v>
      </c>
      <c r="G162" s="200">
        <v>126.37327677624603</v>
      </c>
    </row>
    <row r="163" spans="1:7" ht="15" x14ac:dyDescent="0.25">
      <c r="A163" s="196"/>
      <c r="B163" s="197">
        <v>37773</v>
      </c>
      <c r="C163" s="198">
        <v>164.14</v>
      </c>
      <c r="D163" s="199">
        <v>151.7130203672788</v>
      </c>
      <c r="E163" s="199"/>
      <c r="F163" s="200">
        <v>140.04034291477558</v>
      </c>
      <c r="G163" s="200">
        <v>126.01272534464476</v>
      </c>
    </row>
    <row r="164" spans="1:7" ht="15" x14ac:dyDescent="0.25">
      <c r="A164" s="196"/>
      <c r="B164" s="197">
        <v>37803</v>
      </c>
      <c r="C164" s="198">
        <v>164.285</v>
      </c>
      <c r="D164" s="199">
        <v>151.87185976627711</v>
      </c>
      <c r="E164" s="199"/>
      <c r="F164" s="200">
        <v>139.58648512355018</v>
      </c>
      <c r="G164" s="200">
        <v>125.5355249204666</v>
      </c>
    </row>
    <row r="165" spans="1:7" ht="15" x14ac:dyDescent="0.25">
      <c r="A165" s="196"/>
      <c r="B165" s="197">
        <v>37834</v>
      </c>
      <c r="C165" s="198">
        <v>164.33</v>
      </c>
      <c r="D165" s="199">
        <v>152.47208614357262</v>
      </c>
      <c r="E165" s="199"/>
      <c r="F165" s="200">
        <v>139.53605648008067</v>
      </c>
      <c r="G165" s="200">
        <v>125.4453870625663</v>
      </c>
    </row>
    <row r="166" spans="1:7" ht="15" x14ac:dyDescent="0.25">
      <c r="A166" s="196"/>
      <c r="B166" s="197">
        <v>37865</v>
      </c>
      <c r="C166" s="198">
        <v>164.32499999999999</v>
      </c>
      <c r="D166" s="199">
        <v>152.67408948247078</v>
      </c>
      <c r="E166" s="199"/>
      <c r="F166" s="200">
        <v>140.54462934947048</v>
      </c>
      <c r="G166" s="200">
        <v>126.47401908801696</v>
      </c>
    </row>
    <row r="167" spans="1:7" ht="15" x14ac:dyDescent="0.25">
      <c r="A167" s="196"/>
      <c r="B167" s="197">
        <v>37895</v>
      </c>
      <c r="C167" s="198">
        <v>164.4</v>
      </c>
      <c r="D167" s="199">
        <v>152.79426978297161</v>
      </c>
      <c r="E167" s="199"/>
      <c r="F167" s="200">
        <v>140.64548663640946</v>
      </c>
      <c r="G167" s="200">
        <v>126.51113467656417</v>
      </c>
    </row>
    <row r="168" spans="1:7" ht="15" x14ac:dyDescent="0.25">
      <c r="A168" s="196"/>
      <c r="B168" s="197">
        <v>37926</v>
      </c>
      <c r="C168" s="198">
        <v>164.7</v>
      </c>
      <c r="D168" s="199">
        <v>152.6192467445743</v>
      </c>
      <c r="E168" s="199"/>
      <c r="F168" s="200">
        <v>140.34291477559253</v>
      </c>
      <c r="G168" s="200">
        <v>126.13467656415693</v>
      </c>
    </row>
    <row r="169" spans="1:7" ht="15" x14ac:dyDescent="0.25">
      <c r="A169" s="203"/>
      <c r="B169" s="204">
        <v>37956</v>
      </c>
      <c r="C169" s="205">
        <v>165.08500000000001</v>
      </c>
      <c r="D169" s="206">
        <v>152.5876106844741</v>
      </c>
      <c r="E169" s="206"/>
      <c r="F169" s="207">
        <v>140.49420070600101</v>
      </c>
      <c r="G169" s="207">
        <v>126.32555673382822</v>
      </c>
    </row>
    <row r="170" spans="1:7" ht="15" x14ac:dyDescent="0.25">
      <c r="A170" s="190">
        <v>2004</v>
      </c>
      <c r="B170" s="191">
        <v>37987</v>
      </c>
      <c r="C170" s="192">
        <v>166.245</v>
      </c>
      <c r="D170" s="208">
        <v>152.44077128547579</v>
      </c>
      <c r="E170" s="208"/>
      <c r="F170" s="194">
        <v>140.19162884518406</v>
      </c>
      <c r="G170" s="194">
        <v>125.57794273594911</v>
      </c>
    </row>
    <row r="171" spans="1:7" ht="15" x14ac:dyDescent="0.25">
      <c r="A171" s="196"/>
      <c r="B171" s="197">
        <v>38018</v>
      </c>
      <c r="C171" s="198">
        <v>165.35</v>
      </c>
      <c r="D171" s="199">
        <v>151.78047278797999</v>
      </c>
      <c r="E171" s="199"/>
      <c r="F171" s="200">
        <v>139.83862834089763</v>
      </c>
      <c r="G171" s="200">
        <v>125.23860021208908</v>
      </c>
    </row>
    <row r="172" spans="1:7" ht="15" x14ac:dyDescent="0.25">
      <c r="A172" s="196"/>
      <c r="B172" s="197">
        <v>38047</v>
      </c>
      <c r="C172" s="198">
        <v>165.76</v>
      </c>
      <c r="D172" s="199">
        <v>152.41949248747915</v>
      </c>
      <c r="E172" s="199"/>
      <c r="F172" s="200">
        <v>140.89762985375691</v>
      </c>
      <c r="G172" s="200">
        <v>126.25132555673385</v>
      </c>
    </row>
    <row r="173" spans="1:7" ht="15" x14ac:dyDescent="0.25">
      <c r="A173" s="196"/>
      <c r="B173" s="197">
        <v>38078</v>
      </c>
      <c r="C173" s="198">
        <v>168.995</v>
      </c>
      <c r="D173" s="199">
        <v>155.03550250417365</v>
      </c>
      <c r="E173" s="199"/>
      <c r="F173" s="200">
        <v>140.89762985375691</v>
      </c>
      <c r="G173" s="200">
        <v>126.32555673382822</v>
      </c>
    </row>
    <row r="174" spans="1:7" ht="15" x14ac:dyDescent="0.25">
      <c r="A174" s="196"/>
      <c r="B174" s="197">
        <v>38108</v>
      </c>
      <c r="C174" s="198">
        <v>172.13</v>
      </c>
      <c r="D174" s="199">
        <v>156.72024040066776</v>
      </c>
      <c r="E174" s="199"/>
      <c r="F174" s="200">
        <v>141.25063035804337</v>
      </c>
      <c r="G174" s="200">
        <v>126.71792152704136</v>
      </c>
    </row>
    <row r="175" spans="1:7" ht="15" x14ac:dyDescent="0.25">
      <c r="A175" s="196"/>
      <c r="B175" s="197">
        <v>38139</v>
      </c>
      <c r="C175" s="198">
        <v>173.26499999999999</v>
      </c>
      <c r="D175" s="199">
        <v>157.67923071786311</v>
      </c>
      <c r="E175" s="199"/>
      <c r="F175" s="200">
        <v>140.64548663640946</v>
      </c>
      <c r="G175" s="200">
        <v>126.14528101802757</v>
      </c>
    </row>
    <row r="176" spans="1:7" ht="15" x14ac:dyDescent="0.25">
      <c r="A176" s="196"/>
      <c r="B176" s="197">
        <v>38169</v>
      </c>
      <c r="C176" s="198">
        <v>173.76</v>
      </c>
      <c r="D176" s="199">
        <v>157.87239799666111</v>
      </c>
      <c r="E176" s="199"/>
      <c r="F176" s="200">
        <v>140.44377206253151</v>
      </c>
      <c r="G176" s="200">
        <v>125.93319194061505</v>
      </c>
    </row>
    <row r="177" spans="1:7" ht="15" x14ac:dyDescent="0.25">
      <c r="A177" s="196"/>
      <c r="B177" s="197">
        <v>38200</v>
      </c>
      <c r="C177" s="198">
        <v>174.19499999999999</v>
      </c>
      <c r="D177" s="199">
        <v>158.08657829716194</v>
      </c>
      <c r="E177" s="199"/>
      <c r="F177" s="200">
        <v>140.29248613212303</v>
      </c>
      <c r="G177" s="200">
        <v>125.76882290562035</v>
      </c>
    </row>
    <row r="178" spans="1:7" ht="15" x14ac:dyDescent="0.25">
      <c r="A178" s="196"/>
      <c r="B178" s="197">
        <v>38231</v>
      </c>
      <c r="C178" s="198">
        <v>174.55</v>
      </c>
      <c r="D178" s="199">
        <v>158.70622103505843</v>
      </c>
      <c r="E178" s="199"/>
      <c r="F178" s="200">
        <v>141.30105900151284</v>
      </c>
      <c r="G178" s="200">
        <v>126.72852598091198</v>
      </c>
    </row>
    <row r="179" spans="1:7" ht="15" x14ac:dyDescent="0.25">
      <c r="A179" s="196"/>
      <c r="B179" s="197">
        <v>38261</v>
      </c>
      <c r="C179" s="198">
        <v>175.29</v>
      </c>
      <c r="D179" s="199">
        <v>159.46713255425712</v>
      </c>
      <c r="E179" s="199"/>
      <c r="F179" s="200">
        <v>141.70448814926877</v>
      </c>
      <c r="G179" s="200">
        <v>127.3488865323436</v>
      </c>
    </row>
    <row r="180" spans="1:7" ht="15" x14ac:dyDescent="0.25">
      <c r="A180" s="196"/>
      <c r="B180" s="197">
        <v>38292</v>
      </c>
      <c r="C180" s="198">
        <v>175.15</v>
      </c>
      <c r="D180" s="199">
        <v>159.25542103505845</v>
      </c>
      <c r="E180" s="199"/>
      <c r="F180" s="200">
        <v>140.89762985375691</v>
      </c>
      <c r="G180" s="200">
        <v>126.43690349946979</v>
      </c>
    </row>
    <row r="181" spans="1:7" ht="15" x14ac:dyDescent="0.25">
      <c r="A181" s="203"/>
      <c r="B181" s="204">
        <v>38322</v>
      </c>
      <c r="C181" s="205">
        <v>175.89500000000001</v>
      </c>
      <c r="D181" s="206">
        <v>158.66367011686145</v>
      </c>
      <c r="E181" s="206"/>
      <c r="F181" s="207">
        <v>140.89762985375691</v>
      </c>
      <c r="G181" s="207">
        <v>126.42629904559914</v>
      </c>
    </row>
    <row r="182" spans="1:7" ht="15" x14ac:dyDescent="0.25">
      <c r="A182" s="190">
        <v>2005</v>
      </c>
      <c r="B182" s="191">
        <v>38353</v>
      </c>
      <c r="C182" s="192">
        <v>177.5</v>
      </c>
      <c r="D182" s="208">
        <v>158.51158464106845</v>
      </c>
      <c r="E182" s="208"/>
      <c r="F182" s="194">
        <v>140.14120020171455</v>
      </c>
      <c r="G182" s="194">
        <v>125.32873806998941</v>
      </c>
    </row>
    <row r="183" spans="1:7" ht="15" x14ac:dyDescent="0.25">
      <c r="A183" s="196"/>
      <c r="B183" s="197">
        <v>38384</v>
      </c>
      <c r="C183" s="198">
        <v>177.99</v>
      </c>
      <c r="D183" s="199">
        <v>159.5341749582638</v>
      </c>
      <c r="E183" s="199"/>
      <c r="F183" s="200">
        <v>140.79677256681794</v>
      </c>
      <c r="G183" s="200">
        <v>125.98091198303287</v>
      </c>
    </row>
    <row r="184" spans="1:7" ht="15" x14ac:dyDescent="0.25">
      <c r="A184" s="196"/>
      <c r="B184" s="197">
        <v>38412</v>
      </c>
      <c r="C184" s="198">
        <v>178.98500000000001</v>
      </c>
      <c r="D184" s="199">
        <v>161.10971953255427</v>
      </c>
      <c r="E184" s="199"/>
      <c r="F184" s="200">
        <v>141.09934442763489</v>
      </c>
      <c r="G184" s="200">
        <v>126.18769883351008</v>
      </c>
    </row>
    <row r="185" spans="1:7" ht="15" x14ac:dyDescent="0.25">
      <c r="A185" s="196"/>
      <c r="B185" s="197">
        <v>38443</v>
      </c>
      <c r="C185" s="198">
        <v>180.16</v>
      </c>
      <c r="D185" s="199">
        <v>163.1440247078464</v>
      </c>
      <c r="E185" s="199"/>
      <c r="F185" s="200">
        <v>141.30105900151284</v>
      </c>
      <c r="G185" s="200">
        <v>126.41569459172852</v>
      </c>
    </row>
    <row r="186" spans="1:7" ht="15" x14ac:dyDescent="0.25">
      <c r="A186" s="196"/>
      <c r="B186" s="197">
        <v>38473</v>
      </c>
      <c r="C186" s="198">
        <v>180.29</v>
      </c>
      <c r="D186" s="199">
        <v>164.12014958263774</v>
      </c>
      <c r="E186" s="199"/>
      <c r="F186" s="200">
        <v>141.40191628845182</v>
      </c>
      <c r="G186" s="200">
        <v>126.57476139978792</v>
      </c>
    </row>
    <row r="187" spans="1:7" ht="15" x14ac:dyDescent="0.25">
      <c r="A187" s="196"/>
      <c r="B187" s="197">
        <v>38504</v>
      </c>
      <c r="C187" s="198">
        <v>181.17500000000001</v>
      </c>
      <c r="D187" s="199">
        <v>165.3616186978297</v>
      </c>
      <c r="E187" s="199"/>
      <c r="F187" s="200">
        <v>141.45234493192132</v>
      </c>
      <c r="G187" s="200">
        <v>126.67020148462356</v>
      </c>
    </row>
    <row r="188" spans="1:7" ht="15" x14ac:dyDescent="0.25">
      <c r="A188" s="196"/>
      <c r="B188" s="197">
        <v>38534</v>
      </c>
      <c r="C188" s="198">
        <v>182.08500000000001</v>
      </c>
      <c r="D188" s="199">
        <v>166.05936961602671</v>
      </c>
      <c r="E188" s="199"/>
      <c r="F188" s="200">
        <v>140.89762985375691</v>
      </c>
      <c r="G188" s="200">
        <v>125.79533404029692</v>
      </c>
    </row>
    <row r="189" spans="1:7" ht="15" x14ac:dyDescent="0.25">
      <c r="A189" s="196"/>
      <c r="B189" s="197">
        <v>38565</v>
      </c>
      <c r="C189" s="198">
        <v>182.08</v>
      </c>
      <c r="D189" s="199">
        <v>166.94738631051754</v>
      </c>
      <c r="E189" s="199"/>
      <c r="F189" s="200">
        <v>141.20020171457389</v>
      </c>
      <c r="G189" s="200">
        <v>125.99681866383881</v>
      </c>
    </row>
    <row r="190" spans="1:7" ht="15" x14ac:dyDescent="0.25">
      <c r="A190" s="196"/>
      <c r="B190" s="197">
        <v>38596</v>
      </c>
      <c r="C190" s="198">
        <v>183.22499999999999</v>
      </c>
      <c r="D190" s="199">
        <v>167.35095358931554</v>
      </c>
      <c r="E190" s="199"/>
      <c r="F190" s="200">
        <v>142.1583459404942</v>
      </c>
      <c r="G190" s="200">
        <v>126.87168610816543</v>
      </c>
    </row>
    <row r="191" spans="1:7" ht="15" x14ac:dyDescent="0.25">
      <c r="A191" s="196"/>
      <c r="B191" s="197">
        <v>38626</v>
      </c>
      <c r="C191" s="198">
        <v>185.11</v>
      </c>
      <c r="D191" s="199">
        <v>169.31715392320532</v>
      </c>
      <c r="E191" s="199"/>
      <c r="F191" s="200">
        <v>142.41048915784162</v>
      </c>
      <c r="G191" s="200">
        <v>127.05726405090138</v>
      </c>
    </row>
    <row r="192" spans="1:7" ht="15" x14ac:dyDescent="0.25">
      <c r="A192" s="196"/>
      <c r="B192" s="197">
        <v>38657</v>
      </c>
      <c r="C192" s="198">
        <v>185.07</v>
      </c>
      <c r="D192" s="199">
        <v>168.88977028380634</v>
      </c>
      <c r="E192" s="199"/>
      <c r="F192" s="200">
        <v>142.0574886535552</v>
      </c>
      <c r="G192" s="200">
        <v>126.5694591728526</v>
      </c>
    </row>
    <row r="193" spans="1:14" ht="15" x14ac:dyDescent="0.25">
      <c r="A193" s="203"/>
      <c r="B193" s="204">
        <v>38687</v>
      </c>
      <c r="C193" s="205">
        <v>186.6</v>
      </c>
      <c r="D193" s="206">
        <v>168.27376360600999</v>
      </c>
      <c r="E193" s="206"/>
      <c r="F193" s="207">
        <v>142.1079172970247</v>
      </c>
      <c r="G193" s="207">
        <v>126.65429480381761</v>
      </c>
    </row>
    <row r="194" spans="1:14" ht="15" x14ac:dyDescent="0.25">
      <c r="A194" s="190">
        <v>2006</v>
      </c>
      <c r="B194" s="191">
        <v>38718</v>
      </c>
      <c r="C194" s="192">
        <v>189.79305389221557</v>
      </c>
      <c r="D194" s="208">
        <v>169.791109670347</v>
      </c>
      <c r="E194" s="208"/>
      <c r="F194" s="194">
        <v>140.99848714069591</v>
      </c>
      <c r="G194" s="194">
        <v>125.31283138918346</v>
      </c>
      <c r="N194" s="209"/>
    </row>
    <row r="195" spans="1:14" ht="15" x14ac:dyDescent="0.25">
      <c r="A195" s="196"/>
      <c r="B195" s="197">
        <v>38749</v>
      </c>
      <c r="C195" s="198">
        <v>192.09305389221558</v>
      </c>
      <c r="D195" s="199">
        <v>169.40564513122592</v>
      </c>
      <c r="E195" s="199"/>
      <c r="F195" s="200">
        <v>141.65405950579927</v>
      </c>
      <c r="G195" s="200">
        <v>125.90137857900319</v>
      </c>
      <c r="N195" s="209"/>
    </row>
    <row r="196" spans="1:14" ht="15" x14ac:dyDescent="0.25">
      <c r="A196" s="196"/>
      <c r="B196" s="197">
        <v>38777</v>
      </c>
      <c r="C196" s="198">
        <v>194.62805389221558</v>
      </c>
      <c r="D196" s="199">
        <v>171.45456692440587</v>
      </c>
      <c r="E196" s="199"/>
      <c r="F196" s="200">
        <v>142.66263237518908</v>
      </c>
      <c r="G196" s="200">
        <v>126.88759278897138</v>
      </c>
      <c r="N196" s="209"/>
    </row>
    <row r="197" spans="1:14" ht="15" x14ac:dyDescent="0.25">
      <c r="A197" s="196"/>
      <c r="B197" s="197">
        <v>38808</v>
      </c>
      <c r="C197" s="198">
        <v>197.43197604790419</v>
      </c>
      <c r="D197" s="199">
        <v>173.71255774928707</v>
      </c>
      <c r="E197" s="199"/>
      <c r="F197" s="200">
        <v>143.36863338376199</v>
      </c>
      <c r="G197" s="200">
        <v>127.58218451749737</v>
      </c>
      <c r="N197" s="209"/>
    </row>
    <row r="198" spans="1:14" ht="15" x14ac:dyDescent="0.25">
      <c r="A198" s="196"/>
      <c r="B198" s="197">
        <v>38838</v>
      </c>
      <c r="C198" s="198">
        <v>201.55697604790419</v>
      </c>
      <c r="D198" s="199">
        <v>173.91562542808779</v>
      </c>
      <c r="E198" s="199"/>
      <c r="F198" s="200">
        <v>143.62077660110944</v>
      </c>
      <c r="G198" s="200">
        <v>127.89501590668083</v>
      </c>
      <c r="N198" s="209"/>
    </row>
    <row r="199" spans="1:14" ht="15" x14ac:dyDescent="0.25">
      <c r="A199" s="196"/>
      <c r="B199" s="197">
        <v>38869</v>
      </c>
      <c r="C199" s="198">
        <v>203.65643712574848</v>
      </c>
      <c r="D199" s="199">
        <v>174.09807319352956</v>
      </c>
      <c r="E199" s="199"/>
      <c r="F199" s="200">
        <v>143.57034795763991</v>
      </c>
      <c r="G199" s="200">
        <v>127.83669141039236</v>
      </c>
      <c r="N199" s="209"/>
    </row>
    <row r="200" spans="1:14" ht="15" x14ac:dyDescent="0.25">
      <c r="A200" s="196"/>
      <c r="B200" s="197">
        <v>38899</v>
      </c>
      <c r="C200" s="198">
        <v>206.3214371257485</v>
      </c>
      <c r="D200" s="199">
        <v>174.48989202075518</v>
      </c>
      <c r="E200" s="199"/>
      <c r="F200" s="200">
        <v>143.31820474029246</v>
      </c>
      <c r="G200" s="200">
        <v>127.69883351007422</v>
      </c>
      <c r="N200" s="209"/>
    </row>
    <row r="201" spans="1:14" ht="15" x14ac:dyDescent="0.25">
      <c r="A201" s="196"/>
      <c r="B201" s="197">
        <v>38930</v>
      </c>
      <c r="C201" s="198">
        <v>206.50643712574848</v>
      </c>
      <c r="D201" s="199">
        <v>174.43436960569713</v>
      </c>
      <c r="E201" s="199"/>
      <c r="F201" s="200">
        <v>143.41906202723146</v>
      </c>
      <c r="G201" s="200">
        <v>127.847295864263</v>
      </c>
      <c r="N201" s="209"/>
    </row>
    <row r="202" spans="1:14" ht="15" x14ac:dyDescent="0.25">
      <c r="A202" s="196"/>
      <c r="B202" s="197">
        <v>38961</v>
      </c>
      <c r="C202" s="198">
        <v>211.35143712574848</v>
      </c>
      <c r="D202" s="199">
        <v>174.72900723815695</v>
      </c>
      <c r="E202" s="199"/>
      <c r="F202" s="200">
        <v>144.22592032274332</v>
      </c>
      <c r="G202" s="200">
        <v>128.70625662778369</v>
      </c>
      <c r="N202" s="209"/>
    </row>
    <row r="203" spans="1:14" ht="15" x14ac:dyDescent="0.25">
      <c r="A203" s="196"/>
      <c r="B203" s="197">
        <v>38991</v>
      </c>
      <c r="C203" s="198">
        <v>211.5764371257485</v>
      </c>
      <c r="D203" s="199">
        <v>174.26919366822628</v>
      </c>
      <c r="E203" s="199"/>
      <c r="F203" s="200">
        <v>144.27634896621282</v>
      </c>
      <c r="G203" s="200">
        <v>128.98197242841994</v>
      </c>
      <c r="N203" s="209"/>
    </row>
    <row r="204" spans="1:14" ht="15" x14ac:dyDescent="0.25">
      <c r="A204" s="196"/>
      <c r="B204" s="197">
        <v>39022</v>
      </c>
      <c r="C204" s="198">
        <v>211.70125748502994</v>
      </c>
      <c r="D204" s="199">
        <v>173.43335044476328</v>
      </c>
      <c r="E204" s="199"/>
      <c r="F204" s="200">
        <v>144.42763489662127</v>
      </c>
      <c r="G204" s="200">
        <v>129.03499469777307</v>
      </c>
      <c r="N204" s="209"/>
    </row>
    <row r="205" spans="1:14" ht="15" x14ac:dyDescent="0.25">
      <c r="A205" s="203"/>
      <c r="B205" s="204">
        <v>39052</v>
      </c>
      <c r="C205" s="205">
        <v>211.63125748502992</v>
      </c>
      <c r="D205" s="206">
        <v>173.11339356402976</v>
      </c>
      <c r="E205" s="206"/>
      <c r="F205" s="207">
        <v>144.42763489662127</v>
      </c>
      <c r="G205" s="207">
        <v>129.05620360551433</v>
      </c>
      <c r="N205" s="209"/>
    </row>
    <row r="206" spans="1:14" ht="15" x14ac:dyDescent="0.25">
      <c r="A206" s="190">
        <v>2007</v>
      </c>
      <c r="B206" s="191">
        <v>39083</v>
      </c>
      <c r="C206" s="192">
        <v>208.99625748502993</v>
      </c>
      <c r="D206" s="208">
        <v>173.36894745084876</v>
      </c>
      <c r="E206" s="208"/>
      <c r="F206" s="194">
        <v>143.72163388804839</v>
      </c>
      <c r="G206" s="194">
        <v>128.40402969247086</v>
      </c>
      <c r="N206" s="209"/>
    </row>
    <row r="207" spans="1:14" ht="15" x14ac:dyDescent="0.25">
      <c r="A207" s="196"/>
      <c r="B207" s="197">
        <v>39114</v>
      </c>
      <c r="C207" s="198">
        <v>208.80125748502994</v>
      </c>
      <c r="D207" s="199">
        <v>173.87777898279089</v>
      </c>
      <c r="E207" s="199"/>
      <c r="F207" s="200">
        <v>144.47806354009077</v>
      </c>
      <c r="G207" s="200">
        <v>129.13043478260872</v>
      </c>
      <c r="N207" s="209"/>
    </row>
    <row r="208" spans="1:14" ht="15" x14ac:dyDescent="0.25">
      <c r="A208" s="196"/>
      <c r="B208" s="197">
        <v>39142</v>
      </c>
      <c r="C208" s="198">
        <v>208.56625748502992</v>
      </c>
      <c r="D208" s="199">
        <v>175.04022468682757</v>
      </c>
      <c r="E208" s="199"/>
      <c r="F208" s="200">
        <v>145.38577912254161</v>
      </c>
      <c r="G208" s="200">
        <v>130.04772004241784</v>
      </c>
      <c r="N208" s="209"/>
    </row>
    <row r="209" spans="1:14" ht="15" x14ac:dyDescent="0.25">
      <c r="A209" s="196"/>
      <c r="B209" s="197">
        <v>39173</v>
      </c>
      <c r="C209" s="198">
        <v>213.35810226492794</v>
      </c>
      <c r="D209" s="199">
        <v>179.51077667721199</v>
      </c>
      <c r="E209" s="199"/>
      <c r="F209" s="200">
        <v>146.14220877458396</v>
      </c>
      <c r="G209" s="200">
        <v>130.8271474019088</v>
      </c>
      <c r="N209" s="209"/>
    </row>
    <row r="210" spans="1:14" ht="15" x14ac:dyDescent="0.25">
      <c r="A210" s="196"/>
      <c r="B210" s="197">
        <v>39203</v>
      </c>
      <c r="C210" s="198">
        <v>213.56</v>
      </c>
      <c r="D210" s="199">
        <v>180.5173152504874</v>
      </c>
      <c r="E210" s="199"/>
      <c r="F210" s="200">
        <v>145.99092284417549</v>
      </c>
      <c r="G210" s="200">
        <v>130.75821845174974</v>
      </c>
      <c r="N210" s="209"/>
    </row>
    <row r="211" spans="1:14" ht="15" x14ac:dyDescent="0.25">
      <c r="A211" s="196"/>
      <c r="B211" s="197">
        <v>39234</v>
      </c>
      <c r="C211" s="198">
        <v>215.41499999999999</v>
      </c>
      <c r="D211" s="199">
        <v>181.82159060726502</v>
      </c>
      <c r="E211" s="199"/>
      <c r="F211" s="200">
        <v>146.24306606152294</v>
      </c>
      <c r="G211" s="200">
        <v>130.98621420996818</v>
      </c>
      <c r="N211" s="209"/>
    </row>
    <row r="212" spans="1:14" ht="15" x14ac:dyDescent="0.25">
      <c r="A212" s="196"/>
      <c r="B212" s="197">
        <v>39264</v>
      </c>
      <c r="C212" s="198">
        <v>218.08500000000001</v>
      </c>
      <c r="D212" s="199">
        <v>182.84479915490505</v>
      </c>
      <c r="E212" s="199"/>
      <c r="F212" s="200">
        <v>145.99092284417549</v>
      </c>
      <c r="G212" s="200">
        <v>130.76882290562034</v>
      </c>
      <c r="N212" s="209"/>
    </row>
    <row r="213" spans="1:14" ht="15" x14ac:dyDescent="0.25">
      <c r="A213" s="196"/>
      <c r="B213" s="197">
        <v>39295</v>
      </c>
      <c r="C213" s="198">
        <v>218.005</v>
      </c>
      <c r="D213" s="199">
        <v>183.3820800148286</v>
      </c>
      <c r="E213" s="199"/>
      <c r="F213" s="200">
        <v>145.94049420070598</v>
      </c>
      <c r="G213" s="200">
        <v>130.58854718981971</v>
      </c>
      <c r="N213" s="209"/>
    </row>
    <row r="214" spans="1:14" ht="15" x14ac:dyDescent="0.25">
      <c r="A214" s="196"/>
      <c r="B214" s="197">
        <v>39326</v>
      </c>
      <c r="C214" s="198">
        <v>218.10499999999999</v>
      </c>
      <c r="D214" s="199">
        <v>184.03795133976425</v>
      </c>
      <c r="E214" s="199"/>
      <c r="F214" s="200">
        <v>147.40292486132122</v>
      </c>
      <c r="G214" s="200">
        <v>132.06786850477201</v>
      </c>
      <c r="N214" s="209"/>
    </row>
    <row r="215" spans="1:14" ht="15" x14ac:dyDescent="0.25">
      <c r="A215" s="196"/>
      <c r="B215" s="197">
        <v>39356</v>
      </c>
      <c r="C215" s="198">
        <v>218.20500000000001</v>
      </c>
      <c r="D215" s="199">
        <v>184.57391694615805</v>
      </c>
      <c r="E215" s="199"/>
      <c r="F215" s="200">
        <v>148.20978315683305</v>
      </c>
      <c r="G215" s="200">
        <v>132.78897136797457</v>
      </c>
      <c r="N215" s="209"/>
    </row>
    <row r="216" spans="1:14" ht="15" x14ac:dyDescent="0.25">
      <c r="A216" s="196"/>
      <c r="B216" s="197">
        <v>39387</v>
      </c>
      <c r="C216" s="198">
        <v>218.63499999999999</v>
      </c>
      <c r="D216" s="199">
        <v>185.4668045238372</v>
      </c>
      <c r="E216" s="199"/>
      <c r="F216" s="200">
        <v>149.16792738275339</v>
      </c>
      <c r="G216" s="200">
        <v>133.59490986214212</v>
      </c>
      <c r="N216" s="209"/>
    </row>
    <row r="217" spans="1:14" ht="15" x14ac:dyDescent="0.25">
      <c r="A217" s="203"/>
      <c r="B217" s="204">
        <v>39417</v>
      </c>
      <c r="C217" s="205">
        <v>218.625</v>
      </c>
      <c r="D217" s="206">
        <v>187.25640986822245</v>
      </c>
      <c r="E217" s="206"/>
      <c r="F217" s="207">
        <v>149.42007060010084</v>
      </c>
      <c r="G217" s="207">
        <v>133.91304347826087</v>
      </c>
      <c r="N217" s="209"/>
    </row>
    <row r="218" spans="1:14" ht="15" x14ac:dyDescent="0.25">
      <c r="A218" s="190">
        <v>2008</v>
      </c>
      <c r="B218" s="191">
        <v>39448</v>
      </c>
      <c r="C218" s="192">
        <v>220.60067521885844</v>
      </c>
      <c r="D218" s="208">
        <v>187.33798399356709</v>
      </c>
      <c r="E218" s="208"/>
      <c r="F218" s="194">
        <v>148.3055975794251</v>
      </c>
      <c r="G218" s="194">
        <v>131.52173913043478</v>
      </c>
      <c r="N218" s="209"/>
    </row>
    <row r="219" spans="1:14" ht="15" x14ac:dyDescent="0.25">
      <c r="A219" s="196"/>
      <c r="B219" s="197">
        <v>39479</v>
      </c>
      <c r="C219" s="198">
        <v>221.05796382626653</v>
      </c>
      <c r="D219" s="199">
        <v>188.55979815689611</v>
      </c>
      <c r="E219" s="199"/>
      <c r="F219" s="200">
        <v>148.90569843671202</v>
      </c>
      <c r="G219" s="200">
        <v>132.07317073170734</v>
      </c>
      <c r="N219" s="209"/>
    </row>
    <row r="220" spans="1:14" ht="15" x14ac:dyDescent="0.25">
      <c r="A220" s="196"/>
      <c r="B220" s="197">
        <v>39508</v>
      </c>
      <c r="C220" s="198">
        <v>223.41697667079882</v>
      </c>
      <c r="D220" s="199">
        <v>189.65890467407803</v>
      </c>
      <c r="E220" s="199"/>
      <c r="F220" s="200">
        <v>150.31770045385778</v>
      </c>
      <c r="G220" s="200">
        <v>133.48886532343585</v>
      </c>
      <c r="N220" s="209"/>
    </row>
    <row r="221" spans="1:14" ht="15" x14ac:dyDescent="0.25">
      <c r="A221" s="196"/>
      <c r="B221" s="197">
        <v>39539</v>
      </c>
      <c r="C221" s="198">
        <v>227.66667743661412</v>
      </c>
      <c r="D221" s="199">
        <v>192.721513243267</v>
      </c>
      <c r="E221" s="199"/>
      <c r="F221" s="200">
        <v>151.11951588502268</v>
      </c>
      <c r="G221" s="200">
        <v>134.19406150583245</v>
      </c>
      <c r="N221" s="209"/>
    </row>
    <row r="222" spans="1:14" ht="15" x14ac:dyDescent="0.25">
      <c r="A222" s="196"/>
      <c r="B222" s="197">
        <v>39569</v>
      </c>
      <c r="C222" s="198">
        <v>229.16220135164977</v>
      </c>
      <c r="D222" s="199">
        <v>195.89391305764465</v>
      </c>
      <c r="E222" s="199"/>
      <c r="F222" s="200">
        <v>151.78517397881996</v>
      </c>
      <c r="G222" s="200">
        <v>134.7030752916225</v>
      </c>
      <c r="N222" s="209"/>
    </row>
    <row r="223" spans="1:14" ht="15" x14ac:dyDescent="0.25">
      <c r="A223" s="196"/>
      <c r="B223" s="197">
        <v>39600</v>
      </c>
      <c r="C223" s="198">
        <v>230.30791072525682</v>
      </c>
      <c r="D223" s="199">
        <v>199.10589803814617</v>
      </c>
      <c r="E223" s="199"/>
      <c r="F223" s="200">
        <v>152.52143217347452</v>
      </c>
      <c r="G223" s="200">
        <v>135.50901378579005</v>
      </c>
      <c r="N223" s="209"/>
    </row>
    <row r="224" spans="1:14" ht="15" x14ac:dyDescent="0.25">
      <c r="A224" s="196"/>
      <c r="B224" s="197">
        <v>39630</v>
      </c>
      <c r="C224" s="198">
        <v>232.72133248800449</v>
      </c>
      <c r="D224" s="199">
        <v>202.05784037256865</v>
      </c>
      <c r="E224" s="199"/>
      <c r="F224" s="200">
        <v>152.34997478567826</v>
      </c>
      <c r="G224" s="200">
        <v>135.25980911983032</v>
      </c>
      <c r="N224" s="209"/>
    </row>
    <row r="225" spans="1:14" ht="15" x14ac:dyDescent="0.25">
      <c r="A225" s="196"/>
      <c r="B225" s="197">
        <v>39661</v>
      </c>
      <c r="C225" s="198">
        <v>232.71828958563921</v>
      </c>
      <c r="D225" s="199">
        <v>203.32420703439806</v>
      </c>
      <c r="E225" s="199"/>
      <c r="F225" s="200">
        <v>152.28441754916793</v>
      </c>
      <c r="G225" s="200">
        <v>135.45068928950158</v>
      </c>
      <c r="N225" s="209"/>
    </row>
    <row r="226" spans="1:14" ht="15" x14ac:dyDescent="0.25">
      <c r="A226" s="196"/>
      <c r="B226" s="197">
        <v>39692</v>
      </c>
      <c r="C226" s="198">
        <v>233.35635771282955</v>
      </c>
      <c r="D226" s="199">
        <v>202.96638650052807</v>
      </c>
      <c r="E226" s="199"/>
      <c r="F226" s="200">
        <v>153.84770549672214</v>
      </c>
      <c r="G226" s="200">
        <v>137.04135737009545</v>
      </c>
      <c r="N226" s="209"/>
    </row>
    <row r="227" spans="1:14" ht="15" x14ac:dyDescent="0.25">
      <c r="A227" s="196"/>
      <c r="B227" s="197">
        <v>39722</v>
      </c>
      <c r="C227" s="198">
        <v>234.39922918597759</v>
      </c>
      <c r="D227" s="199">
        <v>200.72070717988535</v>
      </c>
      <c r="E227" s="199"/>
      <c r="F227" s="200">
        <v>154.0897629853757</v>
      </c>
      <c r="G227" s="200">
        <v>137.40190880169672</v>
      </c>
      <c r="N227" s="209"/>
    </row>
    <row r="228" spans="1:14" ht="15" x14ac:dyDescent="0.25">
      <c r="A228" s="196"/>
      <c r="B228" s="197">
        <v>39753</v>
      </c>
      <c r="C228" s="198">
        <v>233.55930027169438</v>
      </c>
      <c r="D228" s="199">
        <v>196.89546443604956</v>
      </c>
      <c r="E228" s="199"/>
      <c r="F228" s="200">
        <v>152.82904689863841</v>
      </c>
      <c r="G228" s="200">
        <v>135.95440084835633</v>
      </c>
      <c r="N228" s="209"/>
    </row>
    <row r="229" spans="1:14" ht="15" x14ac:dyDescent="0.25">
      <c r="A229" s="203"/>
      <c r="B229" s="204">
        <v>39783</v>
      </c>
      <c r="C229" s="205">
        <v>233.12118451596945</v>
      </c>
      <c r="D229" s="206">
        <v>189.72068928244053</v>
      </c>
      <c r="E229" s="206"/>
      <c r="F229" s="207">
        <v>150.77660110943015</v>
      </c>
      <c r="G229" s="207">
        <v>133.66383881230118</v>
      </c>
      <c r="N229" s="209"/>
    </row>
    <row r="230" spans="1:14" ht="15" x14ac:dyDescent="0.25">
      <c r="A230" s="190">
        <v>2009</v>
      </c>
      <c r="B230" s="191">
        <v>39814</v>
      </c>
      <c r="C230" s="192">
        <v>232.45807676415083</v>
      </c>
      <c r="D230" s="208">
        <v>187.4479995446174</v>
      </c>
      <c r="E230" s="208"/>
      <c r="F230" s="194">
        <v>150.21684316691878</v>
      </c>
      <c r="G230" s="194">
        <v>133.00636267232238</v>
      </c>
      <c r="N230" s="209"/>
    </row>
    <row r="231" spans="1:14" ht="15" x14ac:dyDescent="0.25">
      <c r="A231" s="196"/>
      <c r="B231" s="197">
        <v>39845</v>
      </c>
      <c r="C231" s="198">
        <v>230.5701013502956</v>
      </c>
      <c r="D231" s="199">
        <v>187.97742507252585</v>
      </c>
      <c r="E231" s="199"/>
      <c r="F231" s="200">
        <v>150.25214321734742</v>
      </c>
      <c r="G231" s="200">
        <v>132.88971367974548</v>
      </c>
      <c r="N231" s="209"/>
    </row>
    <row r="232" spans="1:14" ht="15" x14ac:dyDescent="0.25">
      <c r="A232" s="196"/>
      <c r="B232" s="197">
        <v>39873</v>
      </c>
      <c r="C232" s="198">
        <v>230.6871403939879</v>
      </c>
      <c r="D232" s="199">
        <v>189.62328470770544</v>
      </c>
      <c r="E232" s="199"/>
      <c r="F232" s="200">
        <v>150.68078668683813</v>
      </c>
      <c r="G232" s="200">
        <v>133.22905620360552</v>
      </c>
      <c r="N232" s="209"/>
    </row>
    <row r="233" spans="1:14" ht="15" x14ac:dyDescent="0.25">
      <c r="A233" s="196"/>
      <c r="B233" s="197">
        <v>39904</v>
      </c>
      <c r="C233" s="198">
        <v>232.19795771583711</v>
      </c>
      <c r="D233" s="199">
        <v>191.65719571231398</v>
      </c>
      <c r="E233" s="199"/>
      <c r="F233" s="200">
        <v>150.91275844679777</v>
      </c>
      <c r="G233" s="200">
        <v>133.5100742311771</v>
      </c>
      <c r="N233" s="209"/>
    </row>
    <row r="234" spans="1:14" ht="15" x14ac:dyDescent="0.25">
      <c r="A234" s="196"/>
      <c r="B234" s="197">
        <v>39934</v>
      </c>
      <c r="C234" s="198">
        <v>232.18481158619045</v>
      </c>
      <c r="D234" s="199">
        <v>191.99539107095683</v>
      </c>
      <c r="E234" s="199"/>
      <c r="F234" s="200">
        <v>151.00857286938981</v>
      </c>
      <c r="G234" s="200">
        <v>133.75397667020147</v>
      </c>
      <c r="N234" s="209"/>
    </row>
    <row r="235" spans="1:14" ht="15" x14ac:dyDescent="0.25">
      <c r="A235" s="196"/>
      <c r="B235" s="197">
        <v>39965</v>
      </c>
      <c r="C235" s="198">
        <v>233.44527259596683</v>
      </c>
      <c r="D235" s="199">
        <v>193.69194412323628</v>
      </c>
      <c r="E235" s="199">
        <v>100</v>
      </c>
      <c r="F235" s="200">
        <v>151.37165910237013</v>
      </c>
      <c r="G235" s="200">
        <v>134.10392364793213</v>
      </c>
      <c r="N235" s="209"/>
    </row>
    <row r="236" spans="1:14" ht="15" x14ac:dyDescent="0.25">
      <c r="A236" s="196"/>
      <c r="B236" s="197">
        <v>39995</v>
      </c>
      <c r="C236" s="198">
        <v>233.91221689802708</v>
      </c>
      <c r="D236" s="199">
        <v>194.85339459828629</v>
      </c>
      <c r="E236" s="199">
        <v>100.1</v>
      </c>
      <c r="F236" s="200">
        <v>150.68078668683813</v>
      </c>
      <c r="G236" s="200">
        <v>133.28738069989396</v>
      </c>
      <c r="N236" s="209"/>
    </row>
    <row r="237" spans="1:14" ht="15" x14ac:dyDescent="0.25">
      <c r="A237" s="196"/>
      <c r="B237" s="197">
        <v>40026</v>
      </c>
      <c r="C237" s="198">
        <v>235.01817932156601</v>
      </c>
      <c r="D237" s="199">
        <v>195.7299019928133</v>
      </c>
      <c r="E237" s="199">
        <v>100</v>
      </c>
      <c r="F237" s="200">
        <v>150.99344427634898</v>
      </c>
      <c r="G237" s="200">
        <v>133.52598091198305</v>
      </c>
      <c r="N237" s="209"/>
    </row>
    <row r="238" spans="1:14" ht="15" x14ac:dyDescent="0.25">
      <c r="A238" s="196"/>
      <c r="B238" s="197">
        <v>40057</v>
      </c>
      <c r="C238" s="198">
        <v>235.05606417956665</v>
      </c>
      <c r="D238" s="199">
        <v>195.84879183425753</v>
      </c>
      <c r="E238" s="199">
        <v>100</v>
      </c>
      <c r="F238" s="200">
        <v>151.46243066061521</v>
      </c>
      <c r="G238" s="200">
        <v>133.93955461293746</v>
      </c>
      <c r="N238" s="209"/>
    </row>
    <row r="239" spans="1:14" ht="15" x14ac:dyDescent="0.25">
      <c r="A239" s="196"/>
      <c r="B239" s="197">
        <v>40087</v>
      </c>
      <c r="C239" s="198">
        <v>237.35352363537723</v>
      </c>
      <c r="D239" s="199">
        <v>195.9053881510074</v>
      </c>
      <c r="E239" s="199">
        <v>100.2</v>
      </c>
      <c r="F239" s="200">
        <v>151.84568835098335</v>
      </c>
      <c r="G239" s="200">
        <v>134.23647932131496</v>
      </c>
      <c r="N239" s="209"/>
    </row>
    <row r="240" spans="1:14" ht="15" x14ac:dyDescent="0.25">
      <c r="A240" s="196"/>
      <c r="B240" s="197">
        <v>40118</v>
      </c>
      <c r="C240" s="198">
        <v>237.39159109493838</v>
      </c>
      <c r="D240" s="199">
        <v>195.26498578718926</v>
      </c>
      <c r="E240" s="199">
        <v>100.1</v>
      </c>
      <c r="F240" s="200">
        <v>151.80534543620774</v>
      </c>
      <c r="G240" s="200">
        <v>134.11983032873806</v>
      </c>
      <c r="N240" s="209"/>
    </row>
    <row r="241" spans="1:14" ht="15" x14ac:dyDescent="0.25">
      <c r="A241" s="203"/>
      <c r="B241" s="204">
        <v>40148</v>
      </c>
      <c r="C241" s="205">
        <v>237.37834712123785</v>
      </c>
      <c r="D241" s="206">
        <v>197.21656029945768</v>
      </c>
      <c r="E241" s="206">
        <v>100.1</v>
      </c>
      <c r="F241" s="207">
        <v>152.13817448310641</v>
      </c>
      <c r="G241" s="207">
        <v>134.43796394485685</v>
      </c>
      <c r="N241" s="209"/>
    </row>
    <row r="242" spans="1:14" ht="15" x14ac:dyDescent="0.25">
      <c r="A242" s="190">
        <v>2010</v>
      </c>
      <c r="B242" s="191">
        <v>40179</v>
      </c>
      <c r="C242" s="192">
        <v>237.56974701508162</v>
      </c>
      <c r="D242" s="208">
        <v>196.83418219032592</v>
      </c>
      <c r="E242" s="208">
        <v>100</v>
      </c>
      <c r="F242" s="194">
        <v>151.1800302571861</v>
      </c>
      <c r="G242" s="194">
        <v>134.16224814422057</v>
      </c>
      <c r="N242" s="209"/>
    </row>
    <row r="243" spans="1:14" ht="15" x14ac:dyDescent="0.25">
      <c r="A243" s="196"/>
      <c r="B243" s="197">
        <v>40210</v>
      </c>
      <c r="C243" s="198">
        <v>239.55905967697566</v>
      </c>
      <c r="D243" s="199">
        <v>196.98104485875214</v>
      </c>
      <c r="E243" s="199">
        <v>100.1</v>
      </c>
      <c r="F243" s="200">
        <v>152.08774583963688</v>
      </c>
      <c r="G243" s="200">
        <v>134.9946977730647</v>
      </c>
      <c r="N243" s="209"/>
    </row>
    <row r="244" spans="1:14" ht="15" x14ac:dyDescent="0.25">
      <c r="A244" s="196"/>
      <c r="B244" s="197">
        <v>40238</v>
      </c>
      <c r="C244" s="198">
        <v>241.47443419739545</v>
      </c>
      <c r="D244" s="199">
        <v>197.46487921885355</v>
      </c>
      <c r="E244" s="199">
        <v>100.2</v>
      </c>
      <c r="F244" s="200">
        <v>152.45587493696416</v>
      </c>
      <c r="G244" s="200">
        <v>135.36585365853659</v>
      </c>
      <c r="N244" s="209"/>
    </row>
    <row r="245" spans="1:14" ht="15" x14ac:dyDescent="0.25">
      <c r="A245" s="196"/>
      <c r="B245" s="197">
        <v>40269</v>
      </c>
      <c r="C245" s="198">
        <v>242.98280680235089</v>
      </c>
      <c r="D245" s="199">
        <v>200.05022174817114</v>
      </c>
      <c r="E245" s="199">
        <v>101.9</v>
      </c>
      <c r="F245" s="200">
        <v>152.47604639435198</v>
      </c>
      <c r="G245" s="200">
        <v>135.42417815482503</v>
      </c>
      <c r="N245" s="209"/>
    </row>
    <row r="246" spans="1:14" ht="15" x14ac:dyDescent="0.25">
      <c r="A246" s="196"/>
      <c r="B246" s="197">
        <v>40299</v>
      </c>
      <c r="C246" s="198">
        <v>247.44044628756598</v>
      </c>
      <c r="D246" s="199">
        <v>201.95581427060426</v>
      </c>
      <c r="E246" s="199">
        <v>103.2</v>
      </c>
      <c r="F246" s="200">
        <v>152.75844679778115</v>
      </c>
      <c r="G246" s="200">
        <v>135.84835630965003</v>
      </c>
      <c r="N246" s="209"/>
    </row>
    <row r="247" spans="1:14" ht="15" x14ac:dyDescent="0.25">
      <c r="A247" s="196"/>
      <c r="B247" s="197">
        <v>40330</v>
      </c>
      <c r="C247" s="198">
        <v>247.70884305494093</v>
      </c>
      <c r="D247" s="199">
        <v>203.01471747004919</v>
      </c>
      <c r="E247" s="199">
        <v>103.4</v>
      </c>
      <c r="F247" s="200">
        <v>152.7836611195159</v>
      </c>
      <c r="G247" s="200">
        <v>135.87486744432661</v>
      </c>
      <c r="N247" s="209"/>
    </row>
    <row r="248" spans="1:14" ht="15" x14ac:dyDescent="0.25">
      <c r="A248" s="196"/>
      <c r="B248" s="197">
        <v>40360</v>
      </c>
      <c r="C248" s="198">
        <v>249.14551925925059</v>
      </c>
      <c r="D248" s="199">
        <v>202.33057380319357</v>
      </c>
      <c r="E248" s="199">
        <v>103.5</v>
      </c>
      <c r="F248" s="200">
        <v>152.31467473524961</v>
      </c>
      <c r="G248" s="200">
        <v>135.49840933191942</v>
      </c>
      <c r="N248" s="209"/>
    </row>
    <row r="249" spans="1:14" ht="15" x14ac:dyDescent="0.25">
      <c r="A249" s="196"/>
      <c r="B249" s="197">
        <v>40391</v>
      </c>
      <c r="C249" s="198">
        <v>249.1134551286458</v>
      </c>
      <c r="D249" s="199">
        <v>201.99015374687337</v>
      </c>
      <c r="E249" s="199">
        <v>103.5</v>
      </c>
      <c r="F249" s="200">
        <v>152.32476046394353</v>
      </c>
      <c r="G249" s="200">
        <v>135.47189819724287</v>
      </c>
      <c r="N249" s="209"/>
    </row>
    <row r="250" spans="1:14" ht="15" x14ac:dyDescent="0.25">
      <c r="A250" s="196"/>
      <c r="B250" s="197">
        <v>40422</v>
      </c>
      <c r="C250" s="198">
        <v>248.57779481470368</v>
      </c>
      <c r="D250" s="199">
        <v>201.97610664615419</v>
      </c>
      <c r="E250" s="199">
        <v>103.5</v>
      </c>
      <c r="F250" s="200">
        <v>153.60564800806858</v>
      </c>
      <c r="G250" s="200">
        <v>136.70201484623541</v>
      </c>
      <c r="N250" s="209"/>
    </row>
    <row r="251" spans="1:14" ht="15" x14ac:dyDescent="0.25">
      <c r="A251" s="196"/>
      <c r="B251" s="197">
        <v>40452</v>
      </c>
      <c r="C251" s="198">
        <v>250.90290070368283</v>
      </c>
      <c r="D251" s="199">
        <v>201.81924573293097</v>
      </c>
      <c r="E251" s="199">
        <v>103.1</v>
      </c>
      <c r="F251" s="200">
        <v>154.09480584972263</v>
      </c>
      <c r="G251" s="200">
        <v>137.07317073170731</v>
      </c>
      <c r="N251" s="209"/>
    </row>
    <row r="252" spans="1:14" ht="15" x14ac:dyDescent="0.25">
      <c r="A252" s="196"/>
      <c r="B252" s="197">
        <v>40483</v>
      </c>
      <c r="C252" s="198">
        <v>250.97249892529601</v>
      </c>
      <c r="D252" s="199">
        <v>201.61284114280329</v>
      </c>
      <c r="E252" s="199">
        <v>102.8</v>
      </c>
      <c r="F252" s="200">
        <v>154.60413514876447</v>
      </c>
      <c r="G252" s="200">
        <v>137.5503711558855</v>
      </c>
      <c r="I252" s="210"/>
      <c r="N252" s="209"/>
    </row>
    <row r="253" spans="1:14" ht="15" x14ac:dyDescent="0.25">
      <c r="A253" s="203"/>
      <c r="B253" s="204">
        <v>40513</v>
      </c>
      <c r="C253" s="205">
        <v>251.24696582486581</v>
      </c>
      <c r="D253" s="206">
        <v>202.45136988392969</v>
      </c>
      <c r="E253" s="206">
        <v>102.9</v>
      </c>
      <c r="F253" s="207">
        <v>155.68835098335856</v>
      </c>
      <c r="G253" s="207">
        <v>138.55249204665961</v>
      </c>
      <c r="N253" s="209"/>
    </row>
    <row r="254" spans="1:14" ht="15" x14ac:dyDescent="0.25">
      <c r="A254" s="190">
        <v>2011</v>
      </c>
      <c r="B254" s="191">
        <v>40544</v>
      </c>
      <c r="C254" s="192">
        <v>253.345</v>
      </c>
      <c r="D254" s="208">
        <v>204.8676331028384</v>
      </c>
      <c r="E254" s="208">
        <v>103.7</v>
      </c>
      <c r="F254" s="194">
        <v>154.38729198184566</v>
      </c>
      <c r="G254" s="194">
        <v>135.93319194061507</v>
      </c>
      <c r="N254" s="209"/>
    </row>
    <row r="255" spans="1:14" ht="15" x14ac:dyDescent="0.25">
      <c r="A255" s="196"/>
      <c r="B255" s="197">
        <v>40575</v>
      </c>
      <c r="C255" s="198">
        <v>254.065</v>
      </c>
      <c r="D255" s="199">
        <v>206.77914662922925</v>
      </c>
      <c r="E255" s="199">
        <v>104.8</v>
      </c>
      <c r="F255" s="200">
        <v>155.33030761472514</v>
      </c>
      <c r="G255" s="200">
        <v>136.9034994697773</v>
      </c>
      <c r="N255" s="209"/>
    </row>
    <row r="256" spans="1:14" ht="15" x14ac:dyDescent="0.25">
      <c r="A256" s="196"/>
      <c r="B256" s="197">
        <v>40603</v>
      </c>
      <c r="C256" s="198">
        <v>254.44</v>
      </c>
      <c r="D256" s="199">
        <v>207.77698513152879</v>
      </c>
      <c r="E256" s="199">
        <v>105.6</v>
      </c>
      <c r="F256" s="200">
        <v>156.38426626323752</v>
      </c>
      <c r="G256" s="200">
        <v>137.94803817603395</v>
      </c>
      <c r="N256" s="209"/>
    </row>
    <row r="257" spans="1:14" ht="15" x14ac:dyDescent="0.25">
      <c r="A257" s="196"/>
      <c r="B257" s="197">
        <v>40634</v>
      </c>
      <c r="C257" s="198">
        <v>258.28500000000003</v>
      </c>
      <c r="D257" s="199">
        <v>211.54568096688766</v>
      </c>
      <c r="E257" s="199">
        <v>106.6</v>
      </c>
      <c r="F257" s="200">
        <v>157.05496722138173</v>
      </c>
      <c r="G257" s="200">
        <v>138.69565217391303</v>
      </c>
      <c r="N257" s="209"/>
    </row>
    <row r="258" spans="1:14" ht="15" x14ac:dyDescent="0.25">
      <c r="A258" s="196"/>
      <c r="B258" s="197">
        <v>40664</v>
      </c>
      <c r="C258" s="198">
        <v>258.32499999999999</v>
      </c>
      <c r="D258" s="199">
        <v>211.8039268285807</v>
      </c>
      <c r="E258" s="199">
        <v>106.1</v>
      </c>
      <c r="F258" s="200">
        <v>157.34745335350476</v>
      </c>
      <c r="G258" s="200">
        <v>139.08801696712621</v>
      </c>
      <c r="N258" s="209"/>
    </row>
    <row r="259" spans="1:14" ht="15" x14ac:dyDescent="0.25">
      <c r="A259" s="196"/>
      <c r="B259" s="197">
        <v>40695</v>
      </c>
      <c r="C259" s="198">
        <v>258.53500000000003</v>
      </c>
      <c r="D259" s="199">
        <v>212.05003218731883</v>
      </c>
      <c r="E259" s="199">
        <v>106.1</v>
      </c>
      <c r="F259" s="200">
        <v>156.97428139183054</v>
      </c>
      <c r="G259" s="200">
        <v>138.76988335100745</v>
      </c>
      <c r="N259" s="209"/>
    </row>
    <row r="260" spans="1:14" ht="15" x14ac:dyDescent="0.25">
      <c r="A260" s="196"/>
      <c r="B260" s="197">
        <v>40725</v>
      </c>
      <c r="C260" s="198">
        <v>260.52999999999997</v>
      </c>
      <c r="D260" s="199">
        <v>212.30004155804335</v>
      </c>
      <c r="E260" s="199">
        <v>106.2</v>
      </c>
      <c r="F260" s="200">
        <v>156.89863842662629</v>
      </c>
      <c r="G260" s="200">
        <v>138.82820784729586</v>
      </c>
      <c r="N260" s="209"/>
    </row>
    <row r="261" spans="1:14" ht="15" x14ac:dyDescent="0.25">
      <c r="A261" s="196"/>
      <c r="B261" s="197">
        <v>40756</v>
      </c>
      <c r="C261" s="198">
        <v>260.83</v>
      </c>
      <c r="D261" s="199">
        <v>213.05848651705833</v>
      </c>
      <c r="E261" s="199">
        <v>106.2</v>
      </c>
      <c r="F261" s="200">
        <v>156.94906707009582</v>
      </c>
      <c r="G261" s="200">
        <v>138.79109225874868</v>
      </c>
      <c r="N261" s="209"/>
    </row>
    <row r="262" spans="1:14" ht="15" x14ac:dyDescent="0.25">
      <c r="A262" s="196"/>
      <c r="B262" s="197">
        <v>40787</v>
      </c>
      <c r="C262" s="198">
        <v>261.08499999999998</v>
      </c>
      <c r="D262" s="199">
        <v>213.59362847990946</v>
      </c>
      <c r="E262" s="199">
        <v>106.3</v>
      </c>
      <c r="F262" s="200">
        <v>158.04841149773071</v>
      </c>
      <c r="G262" s="200">
        <v>139.83563096500532</v>
      </c>
      <c r="N262" s="209"/>
    </row>
    <row r="263" spans="1:14" ht="15" x14ac:dyDescent="0.25">
      <c r="A263" s="196"/>
      <c r="B263" s="197">
        <v>40817</v>
      </c>
      <c r="C263" s="198">
        <v>262.36751171784209</v>
      </c>
      <c r="D263" s="199">
        <v>213.94958513607511</v>
      </c>
      <c r="E263" s="199">
        <v>106.2</v>
      </c>
      <c r="F263" s="200">
        <v>158.05345436207764</v>
      </c>
      <c r="G263" s="200">
        <v>139.80911983032877</v>
      </c>
      <c r="N263" s="209"/>
    </row>
    <row r="264" spans="1:14" ht="15" x14ac:dyDescent="0.25">
      <c r="A264" s="196"/>
      <c r="B264" s="197">
        <v>40848</v>
      </c>
      <c r="C264" s="198">
        <v>262.60413809890866</v>
      </c>
      <c r="D264" s="199">
        <v>214.99631385818091</v>
      </c>
      <c r="E264" s="199">
        <v>106.3</v>
      </c>
      <c r="F264" s="200">
        <v>158.42662632375189</v>
      </c>
      <c r="G264" s="200">
        <v>140.08483563096502</v>
      </c>
      <c r="N264" s="209"/>
    </row>
    <row r="265" spans="1:14" ht="15" x14ac:dyDescent="0.25">
      <c r="A265" s="203"/>
      <c r="B265" s="204">
        <v>40878</v>
      </c>
      <c r="C265" s="205">
        <v>262.49476900681651</v>
      </c>
      <c r="D265" s="206">
        <v>215.01099627982123</v>
      </c>
      <c r="E265" s="206">
        <v>106.4</v>
      </c>
      <c r="F265" s="207">
        <v>158.73928391326271</v>
      </c>
      <c r="G265" s="207">
        <v>140.46129374337224</v>
      </c>
      <c r="N265" s="209"/>
    </row>
    <row r="266" spans="1:14" ht="15" x14ac:dyDescent="0.25">
      <c r="A266" s="190">
        <v>2012</v>
      </c>
      <c r="B266" s="191">
        <v>40909</v>
      </c>
      <c r="C266" s="192">
        <v>264.07183053516297</v>
      </c>
      <c r="D266" s="208">
        <v>215.92198351961824</v>
      </c>
      <c r="E266" s="208">
        <v>106.7</v>
      </c>
      <c r="F266" s="194">
        <v>157.26172465960667</v>
      </c>
      <c r="G266" s="194">
        <v>139.26829268292684</v>
      </c>
      <c r="N266" s="209"/>
    </row>
    <row r="267" spans="1:14" ht="15" x14ac:dyDescent="0.25">
      <c r="A267" s="196"/>
      <c r="B267" s="197">
        <v>40940</v>
      </c>
      <c r="C267" s="198">
        <v>264.11061654779877</v>
      </c>
      <c r="D267" s="199">
        <v>217.07647070433507</v>
      </c>
      <c r="E267" s="199">
        <v>106.9</v>
      </c>
      <c r="F267" s="200">
        <v>158.3055975794251</v>
      </c>
      <c r="G267" s="200">
        <v>140.30752916224816</v>
      </c>
      <c r="N267" s="209"/>
    </row>
    <row r="268" spans="1:14" ht="15" x14ac:dyDescent="0.25">
      <c r="A268" s="196"/>
      <c r="B268" s="197">
        <v>40969</v>
      </c>
      <c r="C268" s="198">
        <v>266.10679684624984</v>
      </c>
      <c r="D268" s="199">
        <v>220.28184012099686</v>
      </c>
      <c r="E268" s="199">
        <v>107.8</v>
      </c>
      <c r="F268" s="200">
        <v>158.74936964195663</v>
      </c>
      <c r="G268" s="200">
        <v>140.71049840933193</v>
      </c>
      <c r="N268" s="209"/>
    </row>
    <row r="269" spans="1:14" ht="15" x14ac:dyDescent="0.25">
      <c r="A269" s="196"/>
      <c r="B269" s="197">
        <v>41000</v>
      </c>
      <c r="C269" s="198">
        <v>267.09781053281631</v>
      </c>
      <c r="D269" s="199">
        <v>221.72095187950893</v>
      </c>
      <c r="E269" s="199">
        <v>108.3</v>
      </c>
      <c r="F269" s="200">
        <v>159.09732728189613</v>
      </c>
      <c r="G269" s="200">
        <v>141.0710498409332</v>
      </c>
      <c r="N269" s="209"/>
    </row>
    <row r="270" spans="1:14" ht="15" x14ac:dyDescent="0.25">
      <c r="A270" s="196"/>
      <c r="B270" s="197">
        <v>41030</v>
      </c>
      <c r="C270" s="198">
        <v>267.72131395838176</v>
      </c>
      <c r="D270" s="199">
        <v>221.95092651471535</v>
      </c>
      <c r="E270" s="199">
        <v>108.4</v>
      </c>
      <c r="F270" s="200">
        <v>158.96621280887544</v>
      </c>
      <c r="G270" s="200">
        <v>141.0763520678685</v>
      </c>
      <c r="N270" s="209"/>
    </row>
    <row r="271" spans="1:14" ht="15" x14ac:dyDescent="0.25">
      <c r="A271" s="196"/>
      <c r="B271" s="197">
        <v>41061</v>
      </c>
      <c r="C271" s="198">
        <v>267.37809840135446</v>
      </c>
      <c r="D271" s="199">
        <v>220.50399438887965</v>
      </c>
      <c r="E271" s="199">
        <v>108.1</v>
      </c>
      <c r="F271" s="200">
        <v>158.57286938981341</v>
      </c>
      <c r="G271" s="200">
        <v>140.76352067868507</v>
      </c>
      <c r="N271" s="209"/>
    </row>
    <row r="272" spans="1:14" ht="15" x14ac:dyDescent="0.25">
      <c r="A272" s="196"/>
      <c r="B272" s="197">
        <v>41091</v>
      </c>
      <c r="C272" s="198">
        <v>267.3010676474139</v>
      </c>
      <c r="D272" s="199">
        <v>218.8922155574972</v>
      </c>
      <c r="E272" s="199">
        <v>108</v>
      </c>
      <c r="F272" s="200">
        <v>157.95763993948563</v>
      </c>
      <c r="G272" s="200">
        <v>140.22269353128314</v>
      </c>
      <c r="N272" s="209"/>
    </row>
    <row r="273" spans="1:14" ht="15" x14ac:dyDescent="0.25">
      <c r="A273" s="196"/>
      <c r="B273" s="197">
        <v>41122</v>
      </c>
      <c r="C273" s="198">
        <v>267.32847184720765</v>
      </c>
      <c r="D273" s="199">
        <v>216.35037965027831</v>
      </c>
      <c r="E273" s="199">
        <v>107.1</v>
      </c>
      <c r="F273" s="200">
        <v>158.11901159858797</v>
      </c>
      <c r="G273" s="200">
        <v>140.27041357370095</v>
      </c>
      <c r="N273" s="209"/>
    </row>
    <row r="274" spans="1:14" ht="15" x14ac:dyDescent="0.25">
      <c r="A274" s="196"/>
      <c r="B274" s="197">
        <v>41153</v>
      </c>
      <c r="C274" s="198">
        <v>267.3994735954912</v>
      </c>
      <c r="D274" s="199">
        <v>218.03683440877481</v>
      </c>
      <c r="E274" s="199">
        <v>106.5</v>
      </c>
      <c r="F274" s="200">
        <v>158.75441250630357</v>
      </c>
      <c r="G274" s="200">
        <v>140.80593849416755</v>
      </c>
      <c r="N274" s="209"/>
    </row>
    <row r="275" spans="1:14" ht="15" x14ac:dyDescent="0.25">
      <c r="A275" s="196"/>
      <c r="B275" s="197">
        <v>41183</v>
      </c>
      <c r="C275" s="198">
        <v>267.42889578190733</v>
      </c>
      <c r="D275" s="199">
        <v>218.45982067516104</v>
      </c>
      <c r="E275" s="199">
        <v>106.1</v>
      </c>
      <c r="F275" s="200">
        <v>158.64346949067067</v>
      </c>
      <c r="G275" s="200">
        <v>140.62036055143159</v>
      </c>
      <c r="N275" s="209"/>
    </row>
    <row r="276" spans="1:14" ht="15" x14ac:dyDescent="0.25">
      <c r="A276" s="196"/>
      <c r="B276" s="197">
        <v>41214</v>
      </c>
      <c r="C276" s="198">
        <v>267.39189050328861</v>
      </c>
      <c r="D276" s="199">
        <v>217.07180490611663</v>
      </c>
      <c r="E276" s="199">
        <v>106.3</v>
      </c>
      <c r="F276" s="200">
        <v>158.25516893595562</v>
      </c>
      <c r="G276" s="200">
        <v>140.1219512195122</v>
      </c>
      <c r="N276" s="209"/>
    </row>
    <row r="277" spans="1:14" ht="15" x14ac:dyDescent="0.25">
      <c r="A277" s="203"/>
      <c r="B277" s="204">
        <v>41244</v>
      </c>
      <c r="C277" s="205">
        <v>267.3269824834764</v>
      </c>
      <c r="D277" s="206">
        <v>215.74596762819044</v>
      </c>
      <c r="E277" s="206">
        <v>106.2</v>
      </c>
      <c r="F277" s="207">
        <v>158.65355521936459</v>
      </c>
      <c r="G277" s="207">
        <v>140.48780487804876</v>
      </c>
      <c r="N277" s="209"/>
    </row>
    <row r="278" spans="1:14" ht="15" x14ac:dyDescent="0.25">
      <c r="A278" s="190">
        <v>2013</v>
      </c>
      <c r="B278" s="191">
        <v>41275</v>
      </c>
      <c r="C278" s="192">
        <v>267.46976234949517</v>
      </c>
      <c r="D278" s="208">
        <v>215.25806794326729</v>
      </c>
      <c r="E278" s="208">
        <v>106.8</v>
      </c>
      <c r="F278" s="194">
        <v>157.33736762481087</v>
      </c>
      <c r="G278" s="194">
        <v>139.00318133616122</v>
      </c>
      <c r="N278" s="209"/>
    </row>
    <row r="279" spans="1:14" ht="15" x14ac:dyDescent="0.25">
      <c r="A279" s="196"/>
      <c r="B279" s="197">
        <v>41306</v>
      </c>
      <c r="C279" s="198">
        <v>267.92016241994503</v>
      </c>
      <c r="D279" s="199">
        <v>215.51156814614282</v>
      </c>
      <c r="E279" s="199">
        <v>106.8</v>
      </c>
      <c r="F279" s="200">
        <v>158.03832576903682</v>
      </c>
      <c r="G279" s="200">
        <v>139.60763520678685</v>
      </c>
      <c r="N279" s="209"/>
    </row>
    <row r="280" spans="1:14" ht="15" x14ac:dyDescent="0.25">
      <c r="A280" s="196"/>
      <c r="B280" s="197">
        <v>41334</v>
      </c>
      <c r="C280" s="211">
        <v>267.60000000000002</v>
      </c>
      <c r="D280" s="212">
        <v>216.30929868903885</v>
      </c>
      <c r="E280" s="212">
        <v>106.8</v>
      </c>
      <c r="F280" s="212">
        <v>158.67372667675238</v>
      </c>
      <c r="G280" s="213">
        <v>140.19999999999999</v>
      </c>
      <c r="N280" s="209"/>
    </row>
    <row r="281" spans="1:14" ht="15" x14ac:dyDescent="0.25">
      <c r="A281" s="196"/>
      <c r="B281" s="197">
        <v>41365</v>
      </c>
      <c r="C281" s="198">
        <v>269.41128801890267</v>
      </c>
      <c r="D281" s="199">
        <v>216.74467941463601</v>
      </c>
      <c r="E281" s="199">
        <v>106.9</v>
      </c>
      <c r="F281" s="200">
        <v>158.36106908724153</v>
      </c>
      <c r="G281" s="200">
        <v>140.04241781548251</v>
      </c>
      <c r="N281" s="209"/>
    </row>
    <row r="282" spans="1:14" ht="15" x14ac:dyDescent="0.25">
      <c r="A282" s="196"/>
      <c r="B282" s="197">
        <v>41395</v>
      </c>
      <c r="C282" s="198">
        <v>269.96579376962245</v>
      </c>
      <c r="D282" s="199">
        <v>216.73214813706912</v>
      </c>
      <c r="E282" s="199">
        <v>107</v>
      </c>
      <c r="F282" s="200">
        <v>158.61825516893595</v>
      </c>
      <c r="G282" s="200">
        <v>140.33404029692471</v>
      </c>
      <c r="N282" s="209"/>
    </row>
    <row r="283" spans="1:14" ht="15" x14ac:dyDescent="0.25">
      <c r="A283" s="196"/>
      <c r="B283" s="197">
        <v>41426</v>
      </c>
      <c r="C283" s="198">
        <v>270.04601381584826</v>
      </c>
      <c r="D283" s="199">
        <v>216.36843672231862</v>
      </c>
      <c r="E283" s="199">
        <v>106.8</v>
      </c>
      <c r="F283" s="200">
        <v>158.34089762985374</v>
      </c>
      <c r="G283" s="200">
        <v>140.21739130434781</v>
      </c>
      <c r="J283" s="214"/>
      <c r="L283" s="210"/>
      <c r="N283" s="209"/>
    </row>
    <row r="284" spans="1:14" ht="15" x14ac:dyDescent="0.25">
      <c r="A284" s="196"/>
      <c r="B284" s="197">
        <v>41456</v>
      </c>
      <c r="C284" s="198">
        <v>270.32534579859231</v>
      </c>
      <c r="D284" s="199">
        <v>217.09103212436884</v>
      </c>
      <c r="E284" s="199">
        <v>106.8</v>
      </c>
      <c r="F284" s="200">
        <v>158.11901159858797</v>
      </c>
      <c r="G284" s="200">
        <v>140</v>
      </c>
      <c r="L284" s="210"/>
      <c r="N284" s="209"/>
    </row>
    <row r="285" spans="1:14" ht="15" x14ac:dyDescent="0.25">
      <c r="A285" s="196"/>
      <c r="B285" s="197">
        <v>41487</v>
      </c>
      <c r="C285" s="198">
        <v>270.41718621542691</v>
      </c>
      <c r="D285" s="199">
        <v>217.39680286527914</v>
      </c>
      <c r="E285" s="199">
        <v>106.8</v>
      </c>
      <c r="F285" s="200">
        <v>158.26525466464949</v>
      </c>
      <c r="G285" s="200">
        <v>139.97879109225875</v>
      </c>
      <c r="N285" s="209"/>
    </row>
    <row r="286" spans="1:14" ht="15" x14ac:dyDescent="0.25">
      <c r="A286" s="196"/>
      <c r="B286" s="197">
        <v>41518</v>
      </c>
      <c r="C286" s="198">
        <v>270.44454680886849</v>
      </c>
      <c r="D286" s="199">
        <v>217.69146444759414</v>
      </c>
      <c r="E286" s="199">
        <v>107.4</v>
      </c>
      <c r="F286" s="200">
        <v>158.87544125063036</v>
      </c>
      <c r="G286" s="200">
        <v>140.55673382820783</v>
      </c>
      <c r="N286" s="209"/>
    </row>
    <row r="287" spans="1:14" ht="15" x14ac:dyDescent="0.25">
      <c r="A287" s="196"/>
      <c r="B287" s="197">
        <v>41548</v>
      </c>
      <c r="C287" s="198">
        <v>271.19533646982967</v>
      </c>
      <c r="D287" s="199">
        <v>217.35188729993286</v>
      </c>
      <c r="E287" s="199">
        <v>107.4</v>
      </c>
      <c r="F287" s="200">
        <v>158.54765506807865</v>
      </c>
      <c r="G287" s="200">
        <v>140.14316012725345</v>
      </c>
      <c r="N287" s="209"/>
    </row>
    <row r="288" spans="1:14" ht="15" x14ac:dyDescent="0.25">
      <c r="A288" s="196"/>
      <c r="B288" s="197">
        <v>41579</v>
      </c>
      <c r="C288" s="198">
        <v>271.07681573419842</v>
      </c>
      <c r="D288" s="199">
        <v>216.41669067337662</v>
      </c>
      <c r="E288" s="199">
        <v>107.4</v>
      </c>
      <c r="F288" s="200">
        <v>158.44679778113968</v>
      </c>
      <c r="G288" s="200">
        <v>139.95227995758219</v>
      </c>
      <c r="N288" s="209"/>
    </row>
    <row r="289" spans="1:14" ht="15" x14ac:dyDescent="0.25">
      <c r="A289" s="203"/>
      <c r="B289" s="204">
        <v>41609</v>
      </c>
      <c r="C289" s="205">
        <v>271.14935230207544</v>
      </c>
      <c r="D289" s="206">
        <v>216.17165862374711</v>
      </c>
      <c r="E289" s="206">
        <v>107.8</v>
      </c>
      <c r="F289" s="207">
        <v>158.8703983862834</v>
      </c>
      <c r="G289" s="207">
        <v>140.36585365853659</v>
      </c>
      <c r="N289" s="209"/>
    </row>
    <row r="290" spans="1:14" ht="15" x14ac:dyDescent="0.25">
      <c r="A290" s="114">
        <v>2014</v>
      </c>
      <c r="B290" s="191">
        <v>41640</v>
      </c>
      <c r="C290" s="192">
        <v>271.53828221791969</v>
      </c>
      <c r="D290" s="208">
        <v>216.52553135317498</v>
      </c>
      <c r="E290" s="208">
        <v>108</v>
      </c>
      <c r="F290" s="194">
        <v>157.02975289964698</v>
      </c>
      <c r="G290" s="194">
        <v>138.82290562036056</v>
      </c>
      <c r="N290" s="209"/>
    </row>
    <row r="291" spans="1:14" ht="15" x14ac:dyDescent="0.25">
      <c r="A291" s="114"/>
      <c r="B291" s="197">
        <v>41671</v>
      </c>
      <c r="C291" s="199">
        <v>271.75401071888939</v>
      </c>
      <c r="D291" s="198">
        <v>216.47780223099554</v>
      </c>
      <c r="E291" s="198">
        <v>108</v>
      </c>
      <c r="F291" s="200">
        <v>157.69036812909732</v>
      </c>
      <c r="G291" s="200">
        <v>139.42205726405089</v>
      </c>
      <c r="N291" s="209"/>
    </row>
    <row r="292" spans="1:14" ht="15" x14ac:dyDescent="0.25">
      <c r="A292" s="114"/>
      <c r="B292" s="197">
        <v>41699</v>
      </c>
      <c r="C292" s="199">
        <v>271.90609783352863</v>
      </c>
      <c r="D292" s="198">
        <v>216.17870584716849</v>
      </c>
      <c r="E292" s="198">
        <v>107.8</v>
      </c>
      <c r="F292" s="200">
        <v>157.68028240040343</v>
      </c>
      <c r="G292" s="200">
        <v>139.41675503711559</v>
      </c>
      <c r="N292" s="209"/>
    </row>
    <row r="293" spans="1:14" ht="15" x14ac:dyDescent="0.25">
      <c r="A293" s="114"/>
      <c r="B293" s="197">
        <v>41730</v>
      </c>
      <c r="C293" s="198">
        <v>275.45208288524947</v>
      </c>
      <c r="D293" s="199">
        <v>218.88966479900517</v>
      </c>
      <c r="E293" s="199">
        <v>108.1</v>
      </c>
      <c r="F293" s="200">
        <v>158.29046898638427</v>
      </c>
      <c r="G293" s="200">
        <v>140.15906680805938</v>
      </c>
      <c r="N293" s="209"/>
    </row>
    <row r="294" spans="1:14" ht="15" x14ac:dyDescent="0.25">
      <c r="A294" s="114"/>
      <c r="B294" s="197">
        <v>41760</v>
      </c>
      <c r="C294" s="198">
        <v>275.59739044471871</v>
      </c>
      <c r="D294" s="199">
        <v>218.97124124853053</v>
      </c>
      <c r="E294" s="199">
        <v>108.5</v>
      </c>
      <c r="F294" s="200">
        <v>158.37115481593545</v>
      </c>
      <c r="G294" s="200">
        <v>140.26511134676565</v>
      </c>
      <c r="N294" s="209"/>
    </row>
    <row r="295" spans="1:14" ht="15" x14ac:dyDescent="0.25">
      <c r="A295" s="114"/>
      <c r="B295" s="197">
        <v>41791</v>
      </c>
      <c r="C295" s="198">
        <v>275.68014380422517</v>
      </c>
      <c r="D295" s="199">
        <v>219.3524990255425</v>
      </c>
      <c r="E295" s="199">
        <v>108.6</v>
      </c>
      <c r="F295" s="200">
        <v>158.69894099848713</v>
      </c>
      <c r="G295" s="200">
        <v>140.63096500530224</v>
      </c>
      <c r="N295" s="209"/>
    </row>
    <row r="296" spans="1:14" ht="15" x14ac:dyDescent="0.25">
      <c r="A296" s="114"/>
      <c r="B296" s="197">
        <v>41821</v>
      </c>
      <c r="C296" s="198">
        <v>275.94227373293273</v>
      </c>
      <c r="D296" s="199">
        <v>219.78973940352131</v>
      </c>
      <c r="E296" s="199">
        <v>108.6</v>
      </c>
      <c r="F296" s="200">
        <v>158.17952597075137</v>
      </c>
      <c r="G296" s="200">
        <v>140.16967126193003</v>
      </c>
      <c r="N296" s="209"/>
    </row>
    <row r="297" spans="1:14" ht="15" x14ac:dyDescent="0.25">
      <c r="A297" s="114"/>
      <c r="B297" s="197">
        <v>41852</v>
      </c>
      <c r="C297" s="198">
        <v>275.76108995117767</v>
      </c>
      <c r="D297" s="199">
        <v>220.45228429908599</v>
      </c>
      <c r="E297" s="199">
        <v>108.6</v>
      </c>
      <c r="F297" s="200">
        <v>158.01815431164903</v>
      </c>
      <c r="G297" s="200">
        <v>139.90455991516438</v>
      </c>
      <c r="N297" s="209"/>
    </row>
    <row r="298" spans="1:14" ht="15" x14ac:dyDescent="0.25">
      <c r="A298" s="114"/>
      <c r="B298" s="197">
        <v>41883</v>
      </c>
      <c r="C298" s="198">
        <v>275.77413308428464</v>
      </c>
      <c r="D298" s="199">
        <v>220.08536913020995</v>
      </c>
      <c r="E298" s="199">
        <v>109</v>
      </c>
      <c r="F298" s="200">
        <v>158.27029752899645</v>
      </c>
      <c r="G298" s="200">
        <v>140.11134676564157</v>
      </c>
      <c r="N298" s="209"/>
    </row>
    <row r="299" spans="1:14" ht="15" x14ac:dyDescent="0.25">
      <c r="A299" s="114"/>
      <c r="B299" s="197">
        <v>41913</v>
      </c>
      <c r="C299" s="198">
        <v>275.62244515586656</v>
      </c>
      <c r="D299" s="199">
        <v>219.66515728064675</v>
      </c>
      <c r="E299" s="199">
        <v>109.1</v>
      </c>
      <c r="F299" s="200">
        <v>158.3560262228946</v>
      </c>
      <c r="G299" s="200">
        <v>140.15376458112408</v>
      </c>
      <c r="N299" s="209"/>
    </row>
    <row r="300" spans="1:14" ht="15" x14ac:dyDescent="0.25">
      <c r="A300" s="114"/>
      <c r="B300" s="197">
        <v>41944</v>
      </c>
      <c r="C300" s="198">
        <v>275.33103955526042</v>
      </c>
      <c r="D300" s="199">
        <v>218.43683234522007</v>
      </c>
      <c r="E300" s="199">
        <v>109</v>
      </c>
      <c r="F300" s="200">
        <v>158.12405446293494</v>
      </c>
      <c r="G300" s="200">
        <v>139.78260869565219</v>
      </c>
      <c r="N300" s="209"/>
    </row>
    <row r="301" spans="1:14" ht="15" x14ac:dyDescent="0.25">
      <c r="A301" s="114"/>
      <c r="B301" s="204">
        <v>41974</v>
      </c>
      <c r="C301" s="205">
        <v>274.75895907713084</v>
      </c>
      <c r="D301" s="206">
        <v>214.22476300553981</v>
      </c>
      <c r="E301" s="206">
        <v>108.9</v>
      </c>
      <c r="F301" s="207">
        <v>158.37115481593545</v>
      </c>
      <c r="G301" s="207">
        <v>140.05302226935314</v>
      </c>
      <c r="N301" s="209"/>
    </row>
    <row r="302" spans="1:14" ht="15" x14ac:dyDescent="0.25">
      <c r="A302" s="114">
        <v>2015</v>
      </c>
      <c r="B302" s="191">
        <v>42005</v>
      </c>
      <c r="C302" s="192">
        <v>275.69997025062219</v>
      </c>
      <c r="D302" s="208">
        <v>210.8667329700794</v>
      </c>
      <c r="E302" s="208">
        <v>108.9</v>
      </c>
      <c r="F302" s="194">
        <v>156.70700958144226</v>
      </c>
      <c r="G302" s="194">
        <v>137.69353128313892</v>
      </c>
      <c r="H302" s="215"/>
      <c r="J302" s="216"/>
      <c r="N302" s="209"/>
    </row>
    <row r="303" spans="1:14" ht="15" x14ac:dyDescent="0.25">
      <c r="A303" s="215"/>
      <c r="B303" s="197">
        <v>42036</v>
      </c>
      <c r="C303" s="198">
        <v>276.79049086427796</v>
      </c>
      <c r="D303" s="199">
        <v>206.98526050701741</v>
      </c>
      <c r="E303" s="199">
        <v>110.1</v>
      </c>
      <c r="F303" s="200">
        <v>157.80635400907715</v>
      </c>
      <c r="G303" s="200">
        <v>138.67444326617181</v>
      </c>
      <c r="H303" s="215"/>
      <c r="J303" s="216"/>
      <c r="N303" s="209"/>
    </row>
    <row r="304" spans="1:14" ht="15" x14ac:dyDescent="0.25">
      <c r="A304" s="215"/>
      <c r="B304" s="197">
        <v>42064</v>
      </c>
      <c r="C304" s="198">
        <v>276.75574793368219</v>
      </c>
      <c r="D304" s="199">
        <v>207.48381361417952</v>
      </c>
      <c r="E304" s="199">
        <v>110.1</v>
      </c>
      <c r="F304" s="200">
        <v>157.93746848209781</v>
      </c>
      <c r="G304" s="200">
        <v>138.78579003181338</v>
      </c>
      <c r="H304" s="215"/>
      <c r="J304" s="216"/>
      <c r="N304" s="209"/>
    </row>
    <row r="305" spans="1:14" ht="15" x14ac:dyDescent="0.25">
      <c r="A305" s="215"/>
      <c r="B305" s="197">
        <v>42095</v>
      </c>
      <c r="C305" s="198">
        <v>278.34578300777082</v>
      </c>
      <c r="D305" s="199">
        <v>211.94349633284691</v>
      </c>
      <c r="E305" s="199">
        <v>111.2</v>
      </c>
      <c r="F305" s="200">
        <v>157.92233988905699</v>
      </c>
      <c r="G305" s="200">
        <v>138.85471898197244</v>
      </c>
      <c r="H305" s="215"/>
      <c r="J305" s="216"/>
      <c r="N305" s="209"/>
    </row>
    <row r="306" spans="1:14" ht="15" x14ac:dyDescent="0.25">
      <c r="A306" s="215"/>
      <c r="B306" s="197">
        <v>42125</v>
      </c>
      <c r="C306" s="198">
        <v>279.13788621010758</v>
      </c>
      <c r="D306" s="199">
        <v>212.62377114305505</v>
      </c>
      <c r="E306" s="199">
        <v>111.5</v>
      </c>
      <c r="F306" s="200">
        <v>158.46696923852747</v>
      </c>
      <c r="G306" s="200">
        <v>139.51749734888654</v>
      </c>
      <c r="H306" s="215"/>
      <c r="J306" s="216"/>
      <c r="N306" s="209"/>
    </row>
    <row r="307" spans="1:14" ht="15" x14ac:dyDescent="0.25">
      <c r="A307" s="215"/>
      <c r="B307" s="197">
        <v>42156</v>
      </c>
      <c r="C307" s="198">
        <v>278.94295725995102</v>
      </c>
      <c r="D307" s="199">
        <v>214.82175746861424</v>
      </c>
      <c r="E307" s="199">
        <v>111.5</v>
      </c>
      <c r="F307" s="200">
        <v>158.0080685829551</v>
      </c>
      <c r="G307" s="200">
        <v>139.13573700954402</v>
      </c>
      <c r="H307" s="215"/>
      <c r="J307" s="216"/>
    </row>
    <row r="308" spans="1:14" ht="15" x14ac:dyDescent="0.25">
      <c r="A308" s="215"/>
      <c r="B308" s="197">
        <v>42186</v>
      </c>
      <c r="C308" s="198">
        <v>280.05761795051552</v>
      </c>
      <c r="D308" s="199">
        <v>213.94862391676438</v>
      </c>
      <c r="E308" s="199">
        <v>111.5</v>
      </c>
      <c r="F308" s="200">
        <v>158.05849722642461</v>
      </c>
      <c r="G308" s="200">
        <v>139.24178154825029</v>
      </c>
      <c r="H308" s="215"/>
      <c r="J308" s="216"/>
    </row>
    <row r="309" spans="1:14" ht="15" x14ac:dyDescent="0.25">
      <c r="A309" s="215"/>
      <c r="B309" s="197">
        <v>42217</v>
      </c>
      <c r="C309" s="198">
        <v>279.68945274670727</v>
      </c>
      <c r="D309" s="199">
        <v>212.47817700800979</v>
      </c>
      <c r="E309" s="199">
        <v>111.1</v>
      </c>
      <c r="F309" s="200">
        <v>157.74583963691376</v>
      </c>
      <c r="G309" s="200">
        <v>137.87910922587488</v>
      </c>
      <c r="H309" s="215"/>
      <c r="J309" s="216"/>
    </row>
    <row r="310" spans="1:14" ht="15" x14ac:dyDescent="0.25">
      <c r="A310" s="215"/>
      <c r="B310" s="197">
        <v>42248</v>
      </c>
      <c r="C310" s="198">
        <v>279.69412837982566</v>
      </c>
      <c r="D310" s="199">
        <v>209.92428504506992</v>
      </c>
      <c r="E310" s="199">
        <v>111.4</v>
      </c>
      <c r="F310" s="200">
        <v>158.37619768028239</v>
      </c>
      <c r="G310" s="200">
        <v>138.51007423117713</v>
      </c>
      <c r="H310" s="215"/>
      <c r="J310" s="216"/>
    </row>
    <row r="311" spans="1:14" ht="15" x14ac:dyDescent="0.25">
      <c r="A311" s="215"/>
      <c r="B311" s="197">
        <v>42278</v>
      </c>
      <c r="C311" s="198">
        <v>280.22678690112343</v>
      </c>
      <c r="D311" s="199">
        <v>206.89734366692937</v>
      </c>
      <c r="E311" s="199">
        <v>111.3</v>
      </c>
      <c r="F311" s="200">
        <v>158.49218356026222</v>
      </c>
      <c r="G311" s="200">
        <v>138.49946977730647</v>
      </c>
      <c r="H311" s="215"/>
      <c r="J311" s="216"/>
    </row>
    <row r="312" spans="1:14" ht="15" x14ac:dyDescent="0.25">
      <c r="A312" s="215"/>
      <c r="B312" s="197">
        <v>42309</v>
      </c>
      <c r="C312" s="198">
        <v>280.27113217097809</v>
      </c>
      <c r="D312" s="199">
        <v>206.61589906787583</v>
      </c>
      <c r="E312" s="199">
        <v>111.3</v>
      </c>
      <c r="F312" s="200">
        <v>158.21986888552698</v>
      </c>
      <c r="G312" s="200">
        <v>138.10710498409333</v>
      </c>
      <c r="H312" s="215"/>
      <c r="J312" s="216"/>
    </row>
    <row r="313" spans="1:14" ht="15" x14ac:dyDescent="0.25">
      <c r="A313" s="215"/>
      <c r="B313" s="217">
        <v>42339</v>
      </c>
      <c r="C313" s="205">
        <v>278.78657589543133</v>
      </c>
      <c r="D313" s="206">
        <v>205.90554216090638</v>
      </c>
      <c r="E313" s="206">
        <v>111.2</v>
      </c>
      <c r="F313" s="207">
        <v>158.45184064548661</v>
      </c>
      <c r="G313" s="207">
        <v>138.24496288441145</v>
      </c>
      <c r="H313" s="215"/>
      <c r="J313" s="216"/>
    </row>
    <row r="314" spans="1:14" ht="15" x14ac:dyDescent="0.25">
      <c r="A314" s="114">
        <v>2016</v>
      </c>
      <c r="B314" s="218">
        <v>42370</v>
      </c>
      <c r="C314" s="192">
        <v>282.06624845963194</v>
      </c>
      <c r="D314" s="208">
        <v>204.28963158319846</v>
      </c>
      <c r="E314" s="219">
        <v>111.2</v>
      </c>
      <c r="F314" s="194">
        <v>157.90721129601613</v>
      </c>
      <c r="G314" s="194">
        <v>137.4390243902439</v>
      </c>
    </row>
    <row r="315" spans="1:14" ht="15" x14ac:dyDescent="0.25">
      <c r="B315" s="220">
        <v>42401</v>
      </c>
      <c r="C315" s="198">
        <v>282.50230347789051</v>
      </c>
      <c r="D315" s="199">
        <v>201.65261686334131</v>
      </c>
      <c r="E315" s="219">
        <v>111.3</v>
      </c>
      <c r="F315" s="200">
        <v>158.416540595058</v>
      </c>
      <c r="G315" s="200">
        <v>137.89501590668081</v>
      </c>
    </row>
    <row r="316" spans="1:14" ht="15" x14ac:dyDescent="0.25">
      <c r="B316" s="220">
        <v>42430</v>
      </c>
      <c r="C316" s="198">
        <v>282.73592036390056</v>
      </c>
      <c r="D316" s="199">
        <v>202.25613915118015</v>
      </c>
      <c r="E316" s="219">
        <v>111.3</v>
      </c>
      <c r="F316" s="200">
        <v>159.20322743318204</v>
      </c>
      <c r="G316" s="200">
        <v>138.68504772004243</v>
      </c>
    </row>
    <row r="317" spans="1:14" ht="15" x14ac:dyDescent="0.25">
      <c r="B317" s="220">
        <v>42461</v>
      </c>
      <c r="C317" s="198">
        <v>284.92663446364202</v>
      </c>
      <c r="D317" s="199">
        <v>204.60442110093655</v>
      </c>
      <c r="E317" s="219">
        <v>112.4</v>
      </c>
      <c r="F317" s="200">
        <v>159.17297024710032</v>
      </c>
      <c r="G317" s="200">
        <v>138.82820784729586</v>
      </c>
    </row>
    <row r="318" spans="1:14" ht="15" x14ac:dyDescent="0.25">
      <c r="B318" s="220">
        <v>42491</v>
      </c>
      <c r="C318" s="198">
        <v>285.90688018163615</v>
      </c>
      <c r="D318" s="199">
        <v>206.59170676539503</v>
      </c>
      <c r="E318" s="200">
        <v>114.1</v>
      </c>
      <c r="F318" s="200">
        <v>159.46041351487642</v>
      </c>
      <c r="G318" s="200">
        <v>139.14103923647934</v>
      </c>
    </row>
    <row r="319" spans="1:14" ht="15" x14ac:dyDescent="0.25">
      <c r="B319" s="220">
        <v>42522</v>
      </c>
      <c r="C319" s="198">
        <v>286.45708529863646</v>
      </c>
      <c r="D319" s="199">
        <v>209.30618528502825</v>
      </c>
      <c r="E319" s="200">
        <v>116.6</v>
      </c>
      <c r="F319" s="200">
        <v>159.62682803832578</v>
      </c>
      <c r="G319" s="200">
        <v>139.20996818663841</v>
      </c>
    </row>
    <row r="320" spans="1:14" ht="15" x14ac:dyDescent="0.25">
      <c r="B320" s="220">
        <v>42552</v>
      </c>
      <c r="C320" s="198">
        <v>287.34246725396753</v>
      </c>
      <c r="D320" s="199">
        <v>211.30270249249349</v>
      </c>
      <c r="E320" s="200">
        <v>116.8</v>
      </c>
      <c r="F320" s="200">
        <v>159.7226424609178</v>
      </c>
      <c r="G320" s="200">
        <v>139.36903499469778</v>
      </c>
    </row>
    <row r="321" spans="1:7" ht="15" x14ac:dyDescent="0.25">
      <c r="B321" s="220">
        <v>42583</v>
      </c>
      <c r="C321" s="198">
        <v>287.39319982924081</v>
      </c>
      <c r="D321" s="199">
        <v>212.05296687127287</v>
      </c>
      <c r="E321" s="200">
        <v>116.9</v>
      </c>
      <c r="F321" s="200">
        <v>159.54614220877457</v>
      </c>
      <c r="G321" s="200">
        <v>139.16755037115593</v>
      </c>
    </row>
    <row r="322" spans="1:7" ht="15" x14ac:dyDescent="0.25">
      <c r="B322" s="220">
        <v>42614</v>
      </c>
      <c r="C322" s="198">
        <v>287.46742611916233</v>
      </c>
      <c r="D322" s="199">
        <v>211.59978649329648</v>
      </c>
      <c r="E322" s="200">
        <v>117</v>
      </c>
      <c r="F322" s="200">
        <v>159.81341401916291</v>
      </c>
      <c r="G322" s="200">
        <v>139.39024390243901</v>
      </c>
    </row>
    <row r="323" spans="1:7" ht="15" x14ac:dyDescent="0.25">
      <c r="B323" s="220">
        <v>42644</v>
      </c>
      <c r="C323" s="198">
        <v>289.41679125253427</v>
      </c>
      <c r="D323" s="199">
        <v>213.28896151993723</v>
      </c>
      <c r="E323" s="200">
        <v>117.3</v>
      </c>
      <c r="F323" s="200">
        <v>160.36308623298032</v>
      </c>
      <c r="G323" s="200">
        <v>139.79321314952278</v>
      </c>
    </row>
    <row r="324" spans="1:7" ht="15" x14ac:dyDescent="0.25">
      <c r="B324" s="220">
        <v>42675</v>
      </c>
      <c r="C324" s="198">
        <v>289.62353139066266</v>
      </c>
      <c r="D324" s="199">
        <v>214.49720659871244</v>
      </c>
      <c r="E324" s="200">
        <v>119</v>
      </c>
      <c r="F324" s="200">
        <v>160.41351487644982</v>
      </c>
      <c r="G324" s="200">
        <v>139.73488865323438</v>
      </c>
    </row>
    <row r="325" spans="1:7" ht="15" x14ac:dyDescent="0.25">
      <c r="B325" s="217">
        <v>42705</v>
      </c>
      <c r="C325" s="205">
        <v>289.96244502490407</v>
      </c>
      <c r="D325" s="206">
        <v>215.72985903885342</v>
      </c>
      <c r="E325" s="200">
        <v>119.6</v>
      </c>
      <c r="F325" s="207">
        <v>161.21028744326779</v>
      </c>
      <c r="G325" s="207">
        <v>140.40296924708377</v>
      </c>
    </row>
    <row r="326" spans="1:7" ht="15" x14ac:dyDescent="0.25">
      <c r="A326" s="114">
        <v>2017</v>
      </c>
      <c r="B326" s="218">
        <v>42736</v>
      </c>
      <c r="C326" s="192">
        <v>291.10792227626075</v>
      </c>
      <c r="D326" s="208">
        <v>217.89749450770441</v>
      </c>
      <c r="E326" s="194">
        <v>120.1</v>
      </c>
      <c r="F326" s="194">
        <v>160.11094301563287</v>
      </c>
      <c r="G326" s="194">
        <v>138.53128313891833</v>
      </c>
    </row>
    <row r="327" spans="1:7" ht="15" x14ac:dyDescent="0.25">
      <c r="B327" s="220">
        <v>42767</v>
      </c>
      <c r="C327" s="198">
        <v>291.59645558547322</v>
      </c>
      <c r="D327" s="199">
        <v>220.56652374944187</v>
      </c>
      <c r="E327" s="200">
        <v>120.5</v>
      </c>
      <c r="F327" s="200">
        <v>161.23550176500251</v>
      </c>
      <c r="G327" s="200">
        <v>139.61293743372215</v>
      </c>
    </row>
    <row r="328" spans="1:7" ht="15" x14ac:dyDescent="0.25">
      <c r="B328" s="220">
        <v>42795</v>
      </c>
      <c r="C328" s="198">
        <v>291.32987726502802</v>
      </c>
      <c r="D328" s="199">
        <v>219.2882920680396</v>
      </c>
      <c r="E328" s="200">
        <v>120.4</v>
      </c>
      <c r="F328" s="200">
        <v>161.21028744326779</v>
      </c>
      <c r="G328" s="200">
        <v>139.61293743372215</v>
      </c>
    </row>
    <row r="329" spans="1:7" ht="15" x14ac:dyDescent="0.25">
      <c r="B329" s="220">
        <v>42826</v>
      </c>
      <c r="C329" s="198">
        <v>295.1108649376215</v>
      </c>
      <c r="D329" s="199">
        <v>221.31625749458351</v>
      </c>
      <c r="E329" s="200">
        <v>121.7</v>
      </c>
      <c r="F329" s="200">
        <v>162.14826021180031</v>
      </c>
      <c r="G329" s="200">
        <v>140.73170731707319</v>
      </c>
    </row>
    <row r="330" spans="1:7" ht="15" x14ac:dyDescent="0.25">
      <c r="B330" s="220">
        <v>42856</v>
      </c>
      <c r="C330" s="198">
        <v>296.30592634493348</v>
      </c>
      <c r="D330" s="199">
        <v>221.31323900622266</v>
      </c>
      <c r="E330" s="200">
        <v>122.1</v>
      </c>
      <c r="F330" s="200">
        <v>162.24911749873928</v>
      </c>
      <c r="G330" s="200">
        <v>141.00212089077414</v>
      </c>
    </row>
    <row r="331" spans="1:7" ht="15" x14ac:dyDescent="0.25">
      <c r="B331" s="220">
        <v>42887</v>
      </c>
      <c r="C331" s="198">
        <v>296.4953036998611</v>
      </c>
      <c r="D331" s="199">
        <v>220.83731267495429</v>
      </c>
      <c r="E331" s="200">
        <v>122.3</v>
      </c>
      <c r="F331" s="200">
        <v>162.36510337871911</v>
      </c>
      <c r="G331" s="200">
        <v>141.20360551431602</v>
      </c>
    </row>
    <row r="332" spans="1:7" ht="15" x14ac:dyDescent="0.25">
      <c r="B332" s="220">
        <v>42917</v>
      </c>
      <c r="C332" s="198">
        <v>297.30606581615649</v>
      </c>
      <c r="D332" s="199">
        <v>220.97016204636492</v>
      </c>
      <c r="E332" s="200">
        <v>122.3</v>
      </c>
      <c r="F332" s="200">
        <v>163.23247604639434</v>
      </c>
      <c r="G332" s="200">
        <v>142.0254506892895</v>
      </c>
    </row>
    <row r="333" spans="1:7" ht="15" x14ac:dyDescent="0.25">
      <c r="B333" s="220">
        <v>42948</v>
      </c>
      <c r="C333" s="198">
        <v>297.53029239216977</v>
      </c>
      <c r="D333" s="199">
        <v>220.4918431800692</v>
      </c>
      <c r="E333" s="200">
        <v>122.5</v>
      </c>
      <c r="F333" s="200">
        <v>162.97528996469995</v>
      </c>
      <c r="G333" s="200">
        <v>141.54825026511134</v>
      </c>
    </row>
    <row r="334" spans="1:7" ht="15" x14ac:dyDescent="0.25">
      <c r="B334" s="220">
        <v>42979</v>
      </c>
      <c r="C334" s="198">
        <v>297.98071275140126</v>
      </c>
      <c r="D334" s="199">
        <v>221.4021748791188</v>
      </c>
      <c r="E334" s="200">
        <v>124.2</v>
      </c>
      <c r="F334" s="200">
        <v>163.19717599596569</v>
      </c>
      <c r="G334" s="200">
        <v>141.70731707317071</v>
      </c>
    </row>
    <row r="335" spans="1:7" ht="15" x14ac:dyDescent="0.25">
      <c r="B335" s="220">
        <v>43009</v>
      </c>
      <c r="C335" s="198">
        <v>299.28742738965116</v>
      </c>
      <c r="D335" s="199">
        <v>221.92083042636699</v>
      </c>
      <c r="E335" s="200">
        <v>125.3</v>
      </c>
      <c r="F335" s="200">
        <v>163.07614725163893</v>
      </c>
      <c r="G335" s="200">
        <v>141.51643690349945</v>
      </c>
    </row>
    <row r="336" spans="1:7" ht="15" x14ac:dyDescent="0.25">
      <c r="B336" s="220">
        <v>43040</v>
      </c>
      <c r="C336" s="198">
        <v>299.71447220966223</v>
      </c>
      <c r="D336" s="199">
        <v>223.54923467546865</v>
      </c>
      <c r="E336" s="200">
        <v>126</v>
      </c>
      <c r="F336" s="200">
        <v>163.40897629853757</v>
      </c>
      <c r="G336" s="200">
        <v>141.68080593849416</v>
      </c>
    </row>
    <row r="337" spans="1:18" ht="15" x14ac:dyDescent="0.25">
      <c r="B337" s="217">
        <v>43070</v>
      </c>
      <c r="C337" s="205">
        <v>299.9583982952214</v>
      </c>
      <c r="D337" s="206">
        <v>225.61114263274573</v>
      </c>
      <c r="E337" s="207">
        <v>127</v>
      </c>
      <c r="F337" s="207">
        <v>164.00907715582451</v>
      </c>
      <c r="G337" s="207">
        <v>142.17391304347825</v>
      </c>
    </row>
    <row r="338" spans="1:18" ht="15" x14ac:dyDescent="0.25">
      <c r="A338" s="114">
        <v>2018</v>
      </c>
      <c r="B338" s="218">
        <v>43101</v>
      </c>
      <c r="C338" s="192">
        <v>299.64205450479398</v>
      </c>
      <c r="D338" s="208">
        <v>227.06240095188011</v>
      </c>
      <c r="E338" s="200">
        <v>128.1</v>
      </c>
      <c r="F338" s="194">
        <v>162.63741805345435</v>
      </c>
      <c r="G338" s="194">
        <v>140.76352067868507</v>
      </c>
      <c r="L338" s="209"/>
    </row>
    <row r="339" spans="1:18" ht="15" x14ac:dyDescent="0.25">
      <c r="B339" s="220">
        <v>43132</v>
      </c>
      <c r="C339" s="198">
        <v>300.49034766538961</v>
      </c>
      <c r="D339" s="199">
        <v>228.50157648236586</v>
      </c>
      <c r="E339" s="200">
        <v>128.30000000000001</v>
      </c>
      <c r="F339" s="200">
        <v>163.82753403933435</v>
      </c>
      <c r="G339" s="200">
        <v>141.81866383881231</v>
      </c>
      <c r="L339" s="209"/>
    </row>
    <row r="340" spans="1:18" ht="15" x14ac:dyDescent="0.25">
      <c r="B340" s="220">
        <v>43160</v>
      </c>
      <c r="C340" s="198">
        <v>300.40064701272144</v>
      </c>
      <c r="D340" s="199">
        <v>227.60256382432081</v>
      </c>
      <c r="E340" s="200">
        <v>128.30000000000001</v>
      </c>
      <c r="F340" s="200">
        <v>164.27634896621279</v>
      </c>
      <c r="G340" s="200">
        <v>142.22693531283139</v>
      </c>
      <c r="L340" s="209"/>
    </row>
    <row r="341" spans="1:18" ht="15" x14ac:dyDescent="0.25">
      <c r="B341" s="220">
        <v>43191</v>
      </c>
      <c r="C341" s="198">
        <v>301.94197546257584</v>
      </c>
      <c r="D341" s="199">
        <v>229.90985569374865</v>
      </c>
      <c r="E341" s="200">
        <v>130.1</v>
      </c>
      <c r="F341" s="200">
        <v>164.95209278870399</v>
      </c>
      <c r="G341" s="200">
        <v>142.93743372216329</v>
      </c>
      <c r="L341" s="209"/>
    </row>
    <row r="342" spans="1:18" ht="15" x14ac:dyDescent="0.25">
      <c r="B342" s="220">
        <v>43221</v>
      </c>
      <c r="C342" s="198">
        <v>303.67368183858662</v>
      </c>
      <c r="D342" s="199">
        <v>232.4324587928364</v>
      </c>
      <c r="E342" s="200">
        <v>131.19999999999999</v>
      </c>
      <c r="F342" s="200">
        <v>165.3</v>
      </c>
      <c r="G342" s="200">
        <v>143.44114528101801</v>
      </c>
      <c r="L342" s="209"/>
    </row>
    <row r="343" spans="1:18" ht="15" x14ac:dyDescent="0.25">
      <c r="B343" s="220">
        <v>43252</v>
      </c>
      <c r="C343" s="198">
        <v>303.89726342106354</v>
      </c>
      <c r="D343" s="199">
        <v>235.05794466117351</v>
      </c>
      <c r="E343" s="200">
        <v>131.4</v>
      </c>
      <c r="F343" s="200">
        <v>165.71860816944024</v>
      </c>
      <c r="G343" s="200">
        <v>143.91304347826087</v>
      </c>
      <c r="L343" s="209"/>
    </row>
    <row r="344" spans="1:18" ht="15" x14ac:dyDescent="0.25">
      <c r="B344" s="220">
        <v>43282</v>
      </c>
      <c r="C344" s="198">
        <v>305.6860683665542</v>
      </c>
      <c r="D344" s="199">
        <v>237.93777067030271</v>
      </c>
      <c r="E344" s="200">
        <v>131.69999999999999</v>
      </c>
      <c r="F344" s="200">
        <v>166.58093797276851</v>
      </c>
      <c r="G344" s="200">
        <v>144.78260869565219</v>
      </c>
      <c r="L344" s="209"/>
    </row>
    <row r="345" spans="1:18" ht="15" x14ac:dyDescent="0.25">
      <c r="B345" s="220">
        <v>43313</v>
      </c>
      <c r="C345" s="198">
        <v>306.164282917305</v>
      </c>
      <c r="D345" s="199">
        <v>239.02663618148529</v>
      </c>
      <c r="E345" s="200">
        <v>132.69999999999999</v>
      </c>
      <c r="F345" s="200">
        <v>166.22793746848208</v>
      </c>
      <c r="G345" s="200">
        <v>144.20996818663841</v>
      </c>
      <c r="L345" s="209"/>
    </row>
    <row r="346" spans="1:18" ht="15" x14ac:dyDescent="0.25">
      <c r="B346" s="220">
        <v>43344</v>
      </c>
      <c r="C346" s="198">
        <v>306.56060734896118</v>
      </c>
      <c r="D346" s="199">
        <v>239.57115606312675</v>
      </c>
      <c r="E346" s="200">
        <v>133.6</v>
      </c>
      <c r="F346" s="200">
        <v>166.9894099848714</v>
      </c>
      <c r="G346" s="200">
        <v>144.80911983032877</v>
      </c>
      <c r="L346" s="209"/>
    </row>
    <row r="347" spans="1:18" ht="15" x14ac:dyDescent="0.25">
      <c r="B347" s="220">
        <v>43374</v>
      </c>
      <c r="C347" s="198">
        <v>306.8307921408869</v>
      </c>
      <c r="D347" s="199">
        <v>240.32143215796074</v>
      </c>
      <c r="E347" s="200">
        <v>133.6</v>
      </c>
      <c r="F347" s="200">
        <v>166.77760968229956</v>
      </c>
      <c r="G347" s="200">
        <v>144.53870625662779</v>
      </c>
      <c r="L347" s="209"/>
      <c r="R347" s="209"/>
    </row>
    <row r="348" spans="1:18" ht="15" x14ac:dyDescent="0.25">
      <c r="B348" s="220">
        <v>43405</v>
      </c>
      <c r="C348" s="198">
        <v>307.04735763300448</v>
      </c>
      <c r="D348" s="199">
        <v>242.37636431875623</v>
      </c>
      <c r="E348" s="200">
        <v>133.80000000000001</v>
      </c>
      <c r="F348" s="200">
        <v>166.61623802319716</v>
      </c>
      <c r="G348" s="200">
        <v>144.16755037115587</v>
      </c>
      <c r="L348" s="209"/>
      <c r="R348" s="209"/>
    </row>
    <row r="349" spans="1:18" ht="15" x14ac:dyDescent="0.25">
      <c r="B349" s="217">
        <v>43435</v>
      </c>
      <c r="C349" s="198">
        <v>306.35389002880271</v>
      </c>
      <c r="D349" s="198">
        <v>241.14520763418426</v>
      </c>
      <c r="E349" s="200">
        <v>133.5</v>
      </c>
      <c r="F349" s="207">
        <v>167.35753908219868</v>
      </c>
      <c r="G349" s="207">
        <v>144.8674443266172</v>
      </c>
      <c r="L349" s="209"/>
      <c r="R349" s="209"/>
    </row>
    <row r="350" spans="1:18" ht="15" x14ac:dyDescent="0.25">
      <c r="A350" s="114">
        <v>2019</v>
      </c>
      <c r="B350" s="218">
        <v>43466</v>
      </c>
      <c r="C350" s="192">
        <v>306.19823797358151</v>
      </c>
      <c r="D350" s="192">
        <v>236.29682949771512</v>
      </c>
      <c r="E350" s="208">
        <v>133.5</v>
      </c>
      <c r="F350" s="194">
        <v>165.68835098335853</v>
      </c>
      <c r="G350" s="194">
        <v>160.87647360328037</v>
      </c>
      <c r="H350" s="114" t="s">
        <v>116</v>
      </c>
      <c r="L350" s="209"/>
      <c r="R350" s="209"/>
    </row>
    <row r="351" spans="1:18" ht="15" x14ac:dyDescent="0.25">
      <c r="B351" s="220">
        <v>43497</v>
      </c>
      <c r="C351" s="198">
        <v>307.57798089208137</v>
      </c>
      <c r="D351" s="198">
        <v>234.60016918670655</v>
      </c>
      <c r="E351" s="199">
        <v>133.80000000000001</v>
      </c>
      <c r="F351" s="200">
        <v>166.928895612708</v>
      </c>
      <c r="G351" s="200">
        <v>162.09636084059457</v>
      </c>
      <c r="L351" s="209"/>
      <c r="R351" s="209"/>
    </row>
    <row r="352" spans="1:18" ht="15" x14ac:dyDescent="0.25">
      <c r="B352" s="220">
        <v>43525</v>
      </c>
      <c r="C352" s="198">
        <v>308.21302456161459</v>
      </c>
      <c r="D352" s="198">
        <v>238.35702463769132</v>
      </c>
      <c r="E352" s="199">
        <v>134.4</v>
      </c>
      <c r="F352" s="200">
        <v>167.31719616742308</v>
      </c>
      <c r="G352" s="200">
        <v>162.47052793439263</v>
      </c>
      <c r="L352" s="209"/>
      <c r="R352" s="209"/>
    </row>
    <row r="353" spans="1:18" ht="15" x14ac:dyDescent="0.25">
      <c r="B353" s="220">
        <v>43556</v>
      </c>
      <c r="C353" s="198">
        <v>310.08789622790385</v>
      </c>
      <c r="D353" s="198">
        <v>242.92263572017274</v>
      </c>
      <c r="E353" s="199">
        <v>135.1</v>
      </c>
      <c r="F353" s="200">
        <v>168.48714069591529</v>
      </c>
      <c r="G353" s="200">
        <v>163.64941055868783</v>
      </c>
      <c r="L353" s="209"/>
      <c r="R353" s="209"/>
    </row>
    <row r="354" spans="1:18" ht="15" x14ac:dyDescent="0.25">
      <c r="B354" s="220">
        <v>43586</v>
      </c>
      <c r="C354" s="198">
        <v>312.08837141196148</v>
      </c>
      <c r="D354" s="198">
        <v>244.50911705185041</v>
      </c>
      <c r="E354" s="199">
        <v>136.19999999999999</v>
      </c>
      <c r="F354" s="200">
        <v>168.91074130105898</v>
      </c>
      <c r="G354" s="200">
        <v>164.06458226550487</v>
      </c>
      <c r="L354" s="209"/>
      <c r="R354" s="209"/>
    </row>
    <row r="355" spans="1:18" ht="15" x14ac:dyDescent="0.25">
      <c r="B355" s="220">
        <v>43617</v>
      </c>
      <c r="C355" s="198">
        <v>311.66364639829828</v>
      </c>
      <c r="D355" s="198">
        <v>244.89934492104123</v>
      </c>
      <c r="E355" s="199">
        <v>136.19999999999999</v>
      </c>
      <c r="F355" s="200">
        <v>168.66868381240545</v>
      </c>
      <c r="G355" s="200">
        <v>163.79805228088159</v>
      </c>
      <c r="L355" s="209"/>
      <c r="R355" s="209"/>
    </row>
    <row r="356" spans="1:18" ht="15" x14ac:dyDescent="0.25">
      <c r="B356" s="220">
        <v>43647</v>
      </c>
      <c r="C356" s="198">
        <v>311.70230168950286</v>
      </c>
      <c r="D356" s="198">
        <v>242.73709951400207</v>
      </c>
      <c r="E356" s="199">
        <v>136.1</v>
      </c>
      <c r="F356" s="200">
        <v>169.33938477054966</v>
      </c>
      <c r="G356" s="200">
        <v>164.87442337262942</v>
      </c>
      <c r="L356" s="209"/>
      <c r="R356" s="209"/>
    </row>
    <row r="357" spans="1:18" ht="15" x14ac:dyDescent="0.25">
      <c r="B357" s="220">
        <v>43678</v>
      </c>
      <c r="C357" s="198">
        <v>311.89485797475464</v>
      </c>
      <c r="D357" s="198">
        <v>242.66579958805062</v>
      </c>
      <c r="E357" s="199">
        <v>136.19999999999999</v>
      </c>
      <c r="F357" s="200">
        <v>168.62834089762984</v>
      </c>
      <c r="G357" s="200">
        <v>164.06458226550487</v>
      </c>
      <c r="L357" s="209"/>
      <c r="R357" s="209"/>
    </row>
    <row r="358" spans="1:18" ht="15" x14ac:dyDescent="0.25">
      <c r="B358" s="220">
        <v>43709</v>
      </c>
      <c r="C358" s="198">
        <v>312.21574620566088</v>
      </c>
      <c r="D358" s="198">
        <v>240.62678802893038</v>
      </c>
      <c r="E358" s="199">
        <v>135.9</v>
      </c>
      <c r="F358" s="200">
        <v>169.41502773575391</v>
      </c>
      <c r="G358" s="200">
        <v>164.79241414659148</v>
      </c>
      <c r="L358" s="209"/>
      <c r="R358" s="209"/>
    </row>
    <row r="359" spans="1:18" ht="15" x14ac:dyDescent="0.25">
      <c r="B359" s="220">
        <v>43739</v>
      </c>
      <c r="C359" s="198">
        <v>311.94895851233451</v>
      </c>
      <c r="D359" s="199">
        <v>237.36123536456282</v>
      </c>
      <c r="E359" s="199">
        <v>134.69999999999999</v>
      </c>
      <c r="F359" s="199">
        <v>169.46041351487645</v>
      </c>
      <c r="G359" s="200">
        <v>164.8077908764736</v>
      </c>
      <c r="R359" s="209"/>
    </row>
    <row r="360" spans="1:18" ht="15" x14ac:dyDescent="0.25">
      <c r="B360" s="220">
        <v>43770</v>
      </c>
      <c r="C360" s="198">
        <v>312.28477673407821</v>
      </c>
      <c r="D360" s="199">
        <v>239.77675910725418</v>
      </c>
      <c r="E360" s="199">
        <v>134.1</v>
      </c>
      <c r="F360" s="200">
        <v>169.62178517397882</v>
      </c>
      <c r="G360" s="200">
        <v>164.95643259866733</v>
      </c>
    </row>
    <row r="361" spans="1:18" ht="15" x14ac:dyDescent="0.25">
      <c r="B361" s="220">
        <v>43800</v>
      </c>
      <c r="C361" s="205">
        <v>312.04623891149998</v>
      </c>
      <c r="D361" s="206">
        <v>233.03662974533509</v>
      </c>
      <c r="E361" s="206">
        <v>133.80000000000001</v>
      </c>
      <c r="F361" s="206">
        <v>170.2874432677761</v>
      </c>
      <c r="G361" s="207">
        <v>165.61763198359816</v>
      </c>
    </row>
    <row r="362" spans="1:18" ht="15" x14ac:dyDescent="0.25">
      <c r="A362" s="114">
        <v>2020</v>
      </c>
      <c r="B362" s="218">
        <v>43831</v>
      </c>
      <c r="C362" s="192">
        <v>313.6739091729807</v>
      </c>
      <c r="D362" s="208">
        <v>240.84797857937295</v>
      </c>
      <c r="E362" s="208">
        <v>134.19999999999999</v>
      </c>
      <c r="F362" s="208">
        <v>167.83661119515884</v>
      </c>
      <c r="G362" s="194">
        <v>163.02921578677601</v>
      </c>
    </row>
    <row r="363" spans="1:18" ht="15" x14ac:dyDescent="0.25">
      <c r="B363" s="220">
        <v>43862</v>
      </c>
      <c r="C363" s="198">
        <v>313.50496211539217</v>
      </c>
      <c r="D363" s="199">
        <v>241.09889422126099</v>
      </c>
      <c r="E363" s="199">
        <v>133.80000000000001</v>
      </c>
      <c r="F363" s="200">
        <v>168.66868381240545</v>
      </c>
      <c r="G363" s="200">
        <v>163.82880574064583</v>
      </c>
    </row>
    <row r="364" spans="1:18" ht="15" x14ac:dyDescent="0.25">
      <c r="B364" s="220">
        <v>43891</v>
      </c>
      <c r="C364" s="198">
        <v>313.18684078241546</v>
      </c>
      <c r="D364" s="199">
        <v>238.07414052626788</v>
      </c>
      <c r="E364" s="199">
        <v>133.19999999999999</v>
      </c>
      <c r="F364" s="200">
        <v>168.38628340897631</v>
      </c>
      <c r="G364" s="200">
        <v>163.53664787288571</v>
      </c>
    </row>
    <row r="365" spans="1:18" ht="15" x14ac:dyDescent="0.25">
      <c r="B365" s="220">
        <v>43922</v>
      </c>
      <c r="C365" s="198">
        <v>314.43776501697283</v>
      </c>
      <c r="D365" s="199">
        <v>234.87831745714499</v>
      </c>
      <c r="E365" s="199">
        <v>134.4</v>
      </c>
      <c r="F365" s="200">
        <v>167.87695410993442</v>
      </c>
      <c r="G365" s="200">
        <v>163.02409021014864</v>
      </c>
    </row>
    <row r="366" spans="1:18" ht="15" x14ac:dyDescent="0.25">
      <c r="B366" s="220">
        <v>43952</v>
      </c>
      <c r="C366" s="198">
        <v>314.39045339676591</v>
      </c>
      <c r="D366" s="199">
        <v>228.35188395918999</v>
      </c>
      <c r="E366" s="199">
        <v>133.69999999999999</v>
      </c>
      <c r="F366" s="200">
        <v>168.89056984367122</v>
      </c>
      <c r="G366" s="200">
        <v>163.97744746283956</v>
      </c>
    </row>
    <row r="367" spans="1:18" ht="15" x14ac:dyDescent="0.25">
      <c r="B367" s="220">
        <v>43983</v>
      </c>
      <c r="C367" s="198">
        <v>314.56609603566648</v>
      </c>
      <c r="D367" s="199">
        <v>227.55905700932587</v>
      </c>
      <c r="E367" s="199">
        <v>132.9</v>
      </c>
      <c r="F367" s="200">
        <v>169.86384266263235</v>
      </c>
      <c r="G367" s="200">
        <v>164.94105586878524</v>
      </c>
    </row>
    <row r="368" spans="1:18" ht="15" x14ac:dyDescent="0.25">
      <c r="B368" s="220">
        <v>44013</v>
      </c>
      <c r="C368" s="198">
        <v>315.59616081452458</v>
      </c>
      <c r="D368" s="199">
        <v>231.52485258165493</v>
      </c>
      <c r="E368" s="199">
        <v>133.1</v>
      </c>
      <c r="F368" s="200">
        <v>170.23197175995966</v>
      </c>
      <c r="G368" s="200">
        <v>165.61763198359816</v>
      </c>
    </row>
    <row r="369" spans="1:7" ht="15" x14ac:dyDescent="0.25">
      <c r="B369" s="220">
        <v>44044</v>
      </c>
      <c r="C369" s="198">
        <v>315.7523625942809</v>
      </c>
      <c r="D369" s="199">
        <v>232.54117341213041</v>
      </c>
      <c r="E369" s="199">
        <v>132.4</v>
      </c>
      <c r="F369" s="200">
        <v>169.97982854261221</v>
      </c>
      <c r="G369" s="200">
        <v>165.32034853921067</v>
      </c>
    </row>
    <row r="370" spans="1:7" ht="15" x14ac:dyDescent="0.25">
      <c r="B370" s="220">
        <v>44075</v>
      </c>
      <c r="C370" s="198">
        <v>315.3526790015149</v>
      </c>
      <c r="D370" s="199">
        <v>231.95190572452867</v>
      </c>
      <c r="E370" s="199">
        <v>132.19999999999999</v>
      </c>
      <c r="F370" s="200">
        <v>170.08068582955116</v>
      </c>
      <c r="G370" s="200">
        <v>165.37672988211173</v>
      </c>
    </row>
    <row r="371" spans="1:7" ht="15" x14ac:dyDescent="0.25">
      <c r="B371" s="220">
        <v>44105</v>
      </c>
      <c r="C371" s="198">
        <v>316.49386304862821</v>
      </c>
      <c r="D371" s="199">
        <v>232.0192723035982</v>
      </c>
      <c r="E371" s="199">
        <v>132.80000000000001</v>
      </c>
      <c r="F371" s="200">
        <v>169.92939989914271</v>
      </c>
      <c r="G371" s="200">
        <v>165.20246027678112</v>
      </c>
    </row>
    <row r="372" spans="1:7" ht="15" x14ac:dyDescent="0.25">
      <c r="B372" s="220">
        <v>44136</v>
      </c>
      <c r="C372" s="198">
        <v>317.80279492770097</v>
      </c>
      <c r="D372" s="199">
        <v>233.28843675226801</v>
      </c>
      <c r="E372" s="199">
        <v>133</v>
      </c>
      <c r="F372" s="200">
        <v>169.94452849218399</v>
      </c>
      <c r="G372" s="200">
        <v>165.187083546899</v>
      </c>
    </row>
    <row r="373" spans="1:7" ht="15" x14ac:dyDescent="0.25">
      <c r="B373" s="217">
        <v>44166</v>
      </c>
      <c r="C373" s="198">
        <v>319.65456200861598</v>
      </c>
      <c r="D373" s="198">
        <v>234.408030681144</v>
      </c>
      <c r="E373" s="199">
        <v>134.5</v>
      </c>
      <c r="F373" s="200">
        <v>171.12455874937001</v>
      </c>
      <c r="G373" s="200">
        <v>166.35571501794001</v>
      </c>
    </row>
    <row r="374" spans="1:7" ht="15" x14ac:dyDescent="0.25">
      <c r="A374" s="114">
        <v>2021</v>
      </c>
      <c r="B374" s="218">
        <v>44197</v>
      </c>
      <c r="C374" s="192">
        <v>321.789963013815</v>
      </c>
      <c r="D374" s="208">
        <v>250.80376273360599</v>
      </c>
      <c r="E374" s="208">
        <v>138.69999999999999</v>
      </c>
      <c r="F374" s="208">
        <v>170.49420070600101</v>
      </c>
      <c r="G374" s="194">
        <v>165.61763198359799</v>
      </c>
    </row>
    <row r="375" spans="1:7" ht="15" x14ac:dyDescent="0.25">
      <c r="B375" s="220">
        <v>44228</v>
      </c>
      <c r="C375" s="198">
        <v>321.81798402266202</v>
      </c>
      <c r="D375" s="199">
        <v>253.22895937063601</v>
      </c>
      <c r="E375" s="199">
        <v>144</v>
      </c>
      <c r="F375" s="200">
        <v>170.95814422591999</v>
      </c>
      <c r="G375" s="200">
        <v>166.04305484367001</v>
      </c>
    </row>
    <row r="376" spans="1:7" ht="15" x14ac:dyDescent="0.25">
      <c r="B376" s="220">
        <v>44256</v>
      </c>
      <c r="C376" s="198">
        <v>322.46382465680398</v>
      </c>
      <c r="D376" s="199">
        <v>255.706964823118</v>
      </c>
      <c r="E376" s="199">
        <v>144.6</v>
      </c>
      <c r="F376" s="200">
        <v>171.22541603630901</v>
      </c>
      <c r="G376" s="200">
        <v>166.263454638647</v>
      </c>
    </row>
    <row r="377" spans="1:7" ht="15" x14ac:dyDescent="0.25">
      <c r="B377" s="220">
        <v>44287</v>
      </c>
      <c r="C377" s="198">
        <v>324.967343120436</v>
      </c>
      <c r="D377" s="199">
        <v>262.04648927311803</v>
      </c>
      <c r="E377" s="199">
        <v>146.5</v>
      </c>
      <c r="F377" s="200">
        <v>171.643973777105</v>
      </c>
      <c r="G377" s="200">
        <v>166.67862634546401</v>
      </c>
    </row>
    <row r="378" spans="1:7" ht="15" x14ac:dyDescent="0.25">
      <c r="B378" s="220">
        <v>44317</v>
      </c>
      <c r="C378" s="198">
        <v>325.472682363243</v>
      </c>
      <c r="D378" s="199">
        <v>262.66010284668101</v>
      </c>
      <c r="E378" s="199">
        <v>150.5</v>
      </c>
      <c r="F378" s="200">
        <v>171.981845688351</v>
      </c>
      <c r="G378" s="200">
        <v>167.01691440286999</v>
      </c>
    </row>
    <row r="379" spans="1:7" ht="15" x14ac:dyDescent="0.25">
      <c r="B379" s="220">
        <v>44348</v>
      </c>
      <c r="C379" s="198">
        <v>327.03784935502631</v>
      </c>
      <c r="D379" s="199">
        <v>266.19607661814428</v>
      </c>
      <c r="E379" s="199">
        <v>158.19999999999999</v>
      </c>
      <c r="F379" s="200">
        <v>172.12304589006555</v>
      </c>
      <c r="G379" s="200">
        <v>167.16043054843669</v>
      </c>
    </row>
    <row r="380" spans="1:7" ht="15" x14ac:dyDescent="0.25">
      <c r="B380" s="220">
        <v>44378</v>
      </c>
      <c r="C380" s="198">
        <v>329.62729316745578</v>
      </c>
      <c r="D380" s="199">
        <v>269.35675094034451</v>
      </c>
      <c r="E380" s="199">
        <v>167</v>
      </c>
      <c r="F380" s="200">
        <v>172.58194654563792</v>
      </c>
      <c r="G380" s="200">
        <v>167.87288569964122</v>
      </c>
    </row>
    <row r="381" spans="1:7" ht="15" x14ac:dyDescent="0.25">
      <c r="B381" s="220">
        <v>44409</v>
      </c>
      <c r="C381" s="198">
        <v>331.12809482896802</v>
      </c>
      <c r="D381" s="199">
        <v>275.94189916679863</v>
      </c>
      <c r="E381" s="199">
        <v>167.8</v>
      </c>
      <c r="F381" s="200">
        <v>173.46949067070094</v>
      </c>
      <c r="G381" s="200">
        <v>168.73398257303947</v>
      </c>
    </row>
    <row r="382" spans="1:7" ht="15" x14ac:dyDescent="0.25">
      <c r="B382" s="220">
        <v>44440</v>
      </c>
      <c r="C382" s="198">
        <v>332.41855461455901</v>
      </c>
      <c r="D382" s="199">
        <v>277.20579659380201</v>
      </c>
      <c r="E382" s="199">
        <v>169</v>
      </c>
      <c r="F382" s="200">
        <v>174.35199193141699</v>
      </c>
      <c r="G382" s="200">
        <v>169.55407483341901</v>
      </c>
    </row>
    <row r="383" spans="1:7" ht="15" x14ac:dyDescent="0.25">
      <c r="B383" s="220">
        <v>44470</v>
      </c>
      <c r="C383" s="198">
        <v>334.977376204027</v>
      </c>
      <c r="D383" s="199">
        <v>278.45328716568901</v>
      </c>
      <c r="E383" s="199">
        <v>170.3</v>
      </c>
      <c r="F383" s="200">
        <v>174.70499243570299</v>
      </c>
      <c r="G383" s="200">
        <v>169.87698616094312</v>
      </c>
    </row>
    <row r="384" spans="1:7" ht="15" x14ac:dyDescent="0.25">
      <c r="B384" s="220">
        <v>44501</v>
      </c>
      <c r="C384" s="198">
        <v>335.52318010519099</v>
      </c>
      <c r="D384" s="199">
        <v>285.50333082046399</v>
      </c>
      <c r="E384" s="199">
        <v>170.8</v>
      </c>
      <c r="F384" s="200">
        <v>175.506807866868</v>
      </c>
      <c r="G384" s="200">
        <v>170.6611993849308</v>
      </c>
    </row>
    <row r="385" spans="1:7" ht="15" x14ac:dyDescent="0.25">
      <c r="B385" s="217">
        <v>44531</v>
      </c>
      <c r="C385" s="198">
        <v>335.663739257141</v>
      </c>
      <c r="D385" s="199">
        <v>285.26013423242301</v>
      </c>
      <c r="E385" s="199">
        <v>171.1</v>
      </c>
      <c r="F385" s="200">
        <v>177.74583963691401</v>
      </c>
      <c r="G385" s="200">
        <v>172.93182983085597</v>
      </c>
    </row>
    <row r="386" spans="1:7" ht="15" x14ac:dyDescent="0.25">
      <c r="A386" s="114">
        <v>2022</v>
      </c>
      <c r="B386" s="218">
        <v>44562</v>
      </c>
      <c r="C386" s="198">
        <v>339.58136696681203</v>
      </c>
      <c r="D386" s="199">
        <v>285.65354062934603</v>
      </c>
      <c r="E386" s="199">
        <v>173.9</v>
      </c>
      <c r="F386" s="200">
        <v>176.78265254664601</v>
      </c>
      <c r="G386" s="200">
        <v>171.8298308559713</v>
      </c>
    </row>
    <row r="387" spans="1:7" ht="15" x14ac:dyDescent="0.25">
      <c r="B387" s="220">
        <v>44593</v>
      </c>
      <c r="C387" s="198">
        <v>343.813590837682</v>
      </c>
      <c r="D387" s="199">
        <v>291.69629201232902</v>
      </c>
      <c r="E387" s="199">
        <v>177.7</v>
      </c>
      <c r="F387" s="200">
        <v>178.295511850731</v>
      </c>
      <c r="G387" s="200">
        <v>173.32649923116352</v>
      </c>
    </row>
    <row r="388" spans="1:7" ht="15" x14ac:dyDescent="0.25">
      <c r="B388" s="220">
        <v>44621</v>
      </c>
      <c r="C388" s="198">
        <v>350.90420087636397</v>
      </c>
      <c r="D388" s="199">
        <v>307.50078939922997</v>
      </c>
      <c r="E388" s="199">
        <v>194</v>
      </c>
      <c r="F388" s="200">
        <v>181.442259203227</v>
      </c>
      <c r="G388" s="200">
        <v>176.46335212711429</v>
      </c>
    </row>
    <row r="389" spans="1:7" ht="15" x14ac:dyDescent="0.25">
      <c r="B389" s="220">
        <v>44652</v>
      </c>
      <c r="C389" s="198">
        <v>361.50491298410799</v>
      </c>
      <c r="D389" s="199">
        <v>327.27458142570703</v>
      </c>
      <c r="E389" s="199">
        <v>207.5</v>
      </c>
      <c r="F389" s="200">
        <v>182.56177508824999</v>
      </c>
      <c r="G389" s="200">
        <v>177.5756022552537</v>
      </c>
    </row>
    <row r="390" spans="1:7" ht="15" x14ac:dyDescent="0.25">
      <c r="B390" s="220">
        <v>44682</v>
      </c>
      <c r="C390" s="198">
        <v>361.62740257932802</v>
      </c>
      <c r="D390" s="199">
        <v>330.28394422927499</v>
      </c>
      <c r="E390" s="199">
        <v>208.2</v>
      </c>
      <c r="F390" s="200">
        <v>184.478063540091</v>
      </c>
      <c r="G390" s="200">
        <v>179.91286519733501</v>
      </c>
    </row>
    <row r="391" spans="1:7" ht="15" x14ac:dyDescent="0.25">
      <c r="B391" s="220">
        <v>44713</v>
      </c>
      <c r="C391" s="198">
        <v>367.09326292128702</v>
      </c>
      <c r="D391" s="199">
        <v>334.519748542971</v>
      </c>
      <c r="E391" s="199">
        <v>208.4</v>
      </c>
      <c r="F391" s="200">
        <v>187.06505295007599</v>
      </c>
      <c r="G391" s="200">
        <v>182.50128139415699</v>
      </c>
    </row>
    <row r="392" spans="1:7" ht="15" x14ac:dyDescent="0.25">
      <c r="B392" s="220">
        <v>44743</v>
      </c>
      <c r="C392" s="198">
        <v>367.23520076065603</v>
      </c>
      <c r="D392" s="199">
        <v>334.97774529273403</v>
      </c>
      <c r="E392" s="199">
        <v>206.3</v>
      </c>
      <c r="F392" s="221">
        <v>187.23146747352499</v>
      </c>
      <c r="G392" s="200">
        <v>182.972834443875</v>
      </c>
    </row>
    <row r="393" spans="1:7" ht="15" x14ac:dyDescent="0.25">
      <c r="B393" s="220">
        <v>44774</v>
      </c>
      <c r="C393" s="198">
        <v>375.20468726469699</v>
      </c>
      <c r="D393" s="199">
        <v>327.80234467969802</v>
      </c>
      <c r="E393" s="199">
        <v>205.6</v>
      </c>
      <c r="F393" s="200">
        <v>190.52445789208301</v>
      </c>
      <c r="G393" s="222">
        <v>186.23782675551001</v>
      </c>
    </row>
    <row r="394" spans="1:7" ht="15" x14ac:dyDescent="0.25">
      <c r="B394" s="220">
        <v>44805</v>
      </c>
      <c r="C394" s="198">
        <v>374.82716326794201</v>
      </c>
      <c r="D394" s="199">
        <v>321.99109237737099</v>
      </c>
      <c r="E394" s="199">
        <v>204.9</v>
      </c>
      <c r="F394" s="200">
        <v>193.247604639435</v>
      </c>
      <c r="G394" s="222">
        <v>188.88262429523323</v>
      </c>
    </row>
    <row r="395" spans="1:7" ht="15" x14ac:dyDescent="0.25">
      <c r="B395" s="220">
        <v>44835</v>
      </c>
      <c r="C395" s="198">
        <v>380.03228956764002</v>
      </c>
      <c r="D395" s="199">
        <v>325.67479640598498</v>
      </c>
      <c r="E395" s="199">
        <v>205.1</v>
      </c>
      <c r="F395" s="200">
        <v>193.66616238023201</v>
      </c>
      <c r="G395" s="222">
        <v>188.96463352127114</v>
      </c>
    </row>
    <row r="396" spans="1:7" ht="15" x14ac:dyDescent="0.25">
      <c r="B396" s="220">
        <v>44866</v>
      </c>
      <c r="C396" s="198">
        <v>380.387164372614</v>
      </c>
      <c r="D396" s="199">
        <v>318.63945620573298</v>
      </c>
      <c r="E396" s="199">
        <v>201.9</v>
      </c>
      <c r="F396" s="200">
        <v>195.62783661119499</v>
      </c>
      <c r="G396" s="223">
        <v>190.90210148641722</v>
      </c>
    </row>
    <row r="397" spans="1:7" ht="15" x14ac:dyDescent="0.25">
      <c r="B397" s="217">
        <v>44896</v>
      </c>
      <c r="C397" s="198">
        <v>378.62961057053701</v>
      </c>
      <c r="D397" s="199">
        <v>314.33493932447499</v>
      </c>
      <c r="E397" s="199">
        <v>197.4</v>
      </c>
      <c r="F397" s="200">
        <v>199.677256681795</v>
      </c>
      <c r="G397" s="222">
        <v>194.95643259866699</v>
      </c>
    </row>
    <row r="398" spans="1:7" ht="15" x14ac:dyDescent="0.25">
      <c r="A398" s="114">
        <v>2023</v>
      </c>
      <c r="B398" s="218">
        <v>44927</v>
      </c>
      <c r="C398" s="198">
        <v>380.48567218578501</v>
      </c>
      <c r="D398" s="199">
        <v>310.44311007857601</v>
      </c>
      <c r="E398" s="199">
        <v>197.7</v>
      </c>
      <c r="F398" s="200">
        <v>197.428139183056</v>
      </c>
      <c r="G398" s="222">
        <v>192.34751409533601</v>
      </c>
    </row>
    <row r="399" spans="1:7" ht="15" x14ac:dyDescent="0.25">
      <c r="B399" s="220">
        <v>44958</v>
      </c>
      <c r="C399" s="198">
        <v>385.81224512014001</v>
      </c>
      <c r="D399" s="199">
        <v>310.78077171683702</v>
      </c>
      <c r="E399" s="199">
        <v>199.1</v>
      </c>
      <c r="F399" s="200">
        <v>199.60665658093799</v>
      </c>
      <c r="G399" s="222">
        <v>194.52075858534101</v>
      </c>
    </row>
    <row r="400" spans="1:7" ht="15" x14ac:dyDescent="0.25">
      <c r="B400" s="220">
        <v>44986</v>
      </c>
      <c r="C400" s="198">
        <v>385.15934467247803</v>
      </c>
      <c r="D400" s="199">
        <v>314.25844814668898</v>
      </c>
      <c r="E400" s="199">
        <v>199.7</v>
      </c>
      <c r="F400" s="200">
        <v>200.74634392334801</v>
      </c>
      <c r="G400" s="222">
        <v>195.63813429010801</v>
      </c>
    </row>
    <row r="401" spans="1:7" ht="15" x14ac:dyDescent="0.25">
      <c r="B401" s="220">
        <v>45017</v>
      </c>
      <c r="C401" s="198">
        <v>389.2981956336269</v>
      </c>
      <c r="D401" s="199">
        <v>318.07263772310972</v>
      </c>
      <c r="E401" s="224">
        <v>200.7</v>
      </c>
      <c r="F401" s="225">
        <v>201.67927382753402</v>
      </c>
      <c r="G401" s="226">
        <v>196.55561250640699</v>
      </c>
    </row>
    <row r="402" spans="1:7" ht="15" x14ac:dyDescent="0.25">
      <c r="B402" s="220">
        <v>45047</v>
      </c>
      <c r="C402" s="198">
        <v>393.89293096186407</v>
      </c>
      <c r="D402" s="199">
        <v>322.07185300851398</v>
      </c>
      <c r="E402" s="224">
        <v>203.1</v>
      </c>
      <c r="F402" s="225">
        <v>202.31467473524961</v>
      </c>
      <c r="G402" s="226">
        <v>197.18605843157354</v>
      </c>
    </row>
    <row r="403" spans="1:7" ht="15" x14ac:dyDescent="0.25">
      <c r="B403" s="220">
        <v>45078</v>
      </c>
      <c r="C403" s="198">
        <v>393.50939488970528</v>
      </c>
      <c r="D403" s="199">
        <v>323.06037920953383</v>
      </c>
      <c r="E403" s="224">
        <v>201.2</v>
      </c>
      <c r="F403" s="225">
        <v>204.48310640443771</v>
      </c>
      <c r="G403" s="226">
        <v>199.34905176832393</v>
      </c>
    </row>
    <row r="404" spans="1:7" ht="15" x14ac:dyDescent="0.25">
      <c r="B404" s="220">
        <v>45108</v>
      </c>
      <c r="C404" s="198">
        <v>393.72515710095183</v>
      </c>
      <c r="D404" s="199">
        <v>325.13087923153978</v>
      </c>
      <c r="E404" s="224">
        <v>199.7</v>
      </c>
      <c r="F404" s="225">
        <v>204.57387796268281</v>
      </c>
      <c r="G404" s="226">
        <v>199.79497693490518</v>
      </c>
    </row>
    <row r="405" spans="1:7" ht="15" x14ac:dyDescent="0.25">
      <c r="B405" s="220">
        <v>45139</v>
      </c>
      <c r="C405" s="198">
        <v>398.89148974460937</v>
      </c>
      <c r="D405" s="199">
        <v>332.23292253372318</v>
      </c>
      <c r="E405" s="224">
        <v>200.4</v>
      </c>
      <c r="F405" s="225">
        <v>204.72516389309129</v>
      </c>
      <c r="G405" s="226">
        <v>199.82573039466942</v>
      </c>
    </row>
    <row r="406" spans="1:7" ht="15" x14ac:dyDescent="0.25">
      <c r="B406" s="220">
        <v>45170</v>
      </c>
      <c r="C406" s="198">
        <v>399.75227902733894</v>
      </c>
      <c r="D406" s="199">
        <v>340.89580432909412</v>
      </c>
      <c r="E406" s="224">
        <v>200.4</v>
      </c>
      <c r="F406" s="225">
        <v>205.77407967725668</v>
      </c>
      <c r="G406" s="226">
        <v>200.81496668375195</v>
      </c>
    </row>
    <row r="407" spans="1:7" ht="15" x14ac:dyDescent="0.25">
      <c r="B407" s="220">
        <v>45200</v>
      </c>
      <c r="C407" s="198">
        <v>397.89697950447209</v>
      </c>
      <c r="D407" s="199">
        <v>347.08357960339197</v>
      </c>
      <c r="E407" s="224">
        <v>200.2</v>
      </c>
      <c r="F407" s="225">
        <v>206.28845184064545</v>
      </c>
      <c r="G407" s="226">
        <v>201.28651973347002</v>
      </c>
    </row>
    <row r="408" spans="1:7" ht="15" x14ac:dyDescent="0.25">
      <c r="B408" s="220">
        <v>45231</v>
      </c>
      <c r="C408" s="198">
        <v>396.25458219365612</v>
      </c>
      <c r="D408" s="199">
        <v>344.81618595000799</v>
      </c>
      <c r="E408" s="224">
        <v>198.9</v>
      </c>
      <c r="F408" s="225">
        <v>206.93393847705494</v>
      </c>
      <c r="G408" s="226">
        <v>201.9067145053819</v>
      </c>
    </row>
    <row r="409" spans="1:7" ht="15.75" thickBot="1" x14ac:dyDescent="0.3">
      <c r="B409" s="217">
        <v>45261</v>
      </c>
      <c r="C409" s="198">
        <v>391.99485178278206</v>
      </c>
      <c r="D409" s="199">
        <v>333.8717234856295</v>
      </c>
      <c r="E409" s="224">
        <v>198.2</v>
      </c>
      <c r="F409" s="227">
        <v>208.44175491679272</v>
      </c>
      <c r="G409" s="228">
        <v>203.41363403382883</v>
      </c>
    </row>
    <row r="410" spans="1:7" ht="15.75" thickBot="1" x14ac:dyDescent="0.3">
      <c r="A410" s="114">
        <v>2024</v>
      </c>
      <c r="B410" s="218">
        <v>45292</v>
      </c>
      <c r="C410" s="259">
        <v>389.38285801133281</v>
      </c>
      <c r="D410" s="258">
        <v>324.15164335985088</v>
      </c>
      <c r="E410" s="262"/>
      <c r="F410" s="229">
        <v>208.13918305597579</v>
      </c>
      <c r="G410" s="230">
        <v>202.99333675038446</v>
      </c>
    </row>
    <row r="411" spans="1:7" ht="15.75" thickBot="1" x14ac:dyDescent="0.3">
      <c r="B411" s="220">
        <v>45323</v>
      </c>
      <c r="C411" s="259">
        <v>390.92282334285414</v>
      </c>
      <c r="D411" s="258">
        <v>321.88019239669711</v>
      </c>
      <c r="E411" s="262"/>
      <c r="G411" s="230">
        <v>203.47514095335728</v>
      </c>
    </row>
    <row r="412" spans="1:7" ht="15.75" thickBot="1" x14ac:dyDescent="0.3">
      <c r="B412" s="220">
        <v>45352</v>
      </c>
      <c r="C412" s="259">
        <v>390.91317505612329</v>
      </c>
      <c r="D412" s="258">
        <v>324.559399592886</v>
      </c>
      <c r="E412" s="262"/>
      <c r="G412" s="230">
        <v>203.70066632496156</v>
      </c>
    </row>
    <row r="413" spans="1:7" ht="15.75" thickBot="1" x14ac:dyDescent="0.3">
      <c r="B413" s="220">
        <v>45383</v>
      </c>
      <c r="C413" s="259">
        <v>391.48299228310935</v>
      </c>
      <c r="D413" s="258">
        <v>328.71090189337991</v>
      </c>
      <c r="E413" s="262"/>
      <c r="G413" s="230">
        <v>204.30035879036393</v>
      </c>
    </row>
    <row r="414" spans="1:7" ht="15.75" thickBot="1" x14ac:dyDescent="0.3">
      <c r="B414" s="220">
        <v>45413</v>
      </c>
      <c r="C414" s="259">
        <v>394.9975210144824</v>
      </c>
      <c r="D414" s="258">
        <v>334.72133364966226</v>
      </c>
      <c r="E414" s="262"/>
      <c r="G414" s="230">
        <v>204.61301896463354</v>
      </c>
    </row>
    <row r="415" spans="1:7" ht="15.75" thickBot="1" x14ac:dyDescent="0.3">
      <c r="B415" s="220">
        <v>45444</v>
      </c>
      <c r="C415" s="259">
        <v>394.55521442509519</v>
      </c>
      <c r="D415" s="258">
        <v>337.42825529957162</v>
      </c>
      <c r="E415" s="262"/>
      <c r="G415" s="230">
        <v>204.45412608918505</v>
      </c>
    </row>
    <row r="416" spans="1:7" ht="15.75" thickBot="1" x14ac:dyDescent="0.3">
      <c r="B416" s="220">
        <v>45474</v>
      </c>
      <c r="C416" s="259">
        <v>394.5590112009632</v>
      </c>
      <c r="D416" s="258">
        <v>333.35979944856268</v>
      </c>
      <c r="E416" s="262"/>
      <c r="G416" s="230">
        <v>205.05381855458742</v>
      </c>
    </row>
    <row r="417" spans="1:7" ht="15.75" thickBot="1" x14ac:dyDescent="0.3">
      <c r="B417" s="220">
        <v>45505</v>
      </c>
      <c r="C417" s="259">
        <v>397.81463027095998</v>
      </c>
      <c r="D417" s="258">
        <v>337.61987628400806</v>
      </c>
      <c r="E417" s="262"/>
      <c r="G417" s="230">
        <v>203.68528959507947</v>
      </c>
    </row>
    <row r="418" spans="1:7" ht="15.75" thickBot="1" x14ac:dyDescent="0.3">
      <c r="B418" s="220">
        <v>45536</v>
      </c>
      <c r="C418" s="259">
        <v>395.44571056508516</v>
      </c>
      <c r="D418" s="258">
        <v>331.67531431567312</v>
      </c>
      <c r="E418" s="262"/>
      <c r="G418" s="230">
        <v>204.01845207585856</v>
      </c>
    </row>
    <row r="419" spans="1:7" ht="15.75" thickBot="1" x14ac:dyDescent="0.3">
      <c r="B419" s="220">
        <v>45566</v>
      </c>
      <c r="C419" s="259">
        <v>393.3641499968295</v>
      </c>
      <c r="D419" s="258">
        <v>324.04275063342442</v>
      </c>
      <c r="E419" s="262"/>
      <c r="G419" s="230">
        <v>204.45925166581242</v>
      </c>
    </row>
    <row r="420" spans="1:7" ht="15.75" thickBot="1" x14ac:dyDescent="0.3">
      <c r="B420" s="220">
        <v>45597</v>
      </c>
      <c r="C420" s="259">
        <v>393.79215278298329</v>
      </c>
      <c r="D420" s="258">
        <v>329.22952159350973</v>
      </c>
      <c r="E420" s="262"/>
      <c r="G420" s="230">
        <v>205.06406970784212</v>
      </c>
    </row>
    <row r="421" spans="1:7" ht="15.75" thickBot="1" x14ac:dyDescent="0.3">
      <c r="A421" s="114"/>
      <c r="B421" s="217">
        <v>45627</v>
      </c>
      <c r="C421" s="260">
        <v>392.92682617903097</v>
      </c>
      <c r="D421" s="261">
        <v>332.88626612049143</v>
      </c>
      <c r="E421" s="262"/>
      <c r="G421" s="230">
        <v>205.05381855458742</v>
      </c>
    </row>
    <row r="422" spans="1:7" ht="15.75" thickBot="1" x14ac:dyDescent="0.3">
      <c r="A422">
        <v>2025</v>
      </c>
      <c r="B422" s="218">
        <v>45658</v>
      </c>
      <c r="C422" s="259">
        <v>394.77872836684531</v>
      </c>
      <c r="D422" s="258">
        <v>331.34485636432476</v>
      </c>
      <c r="E422" s="262"/>
      <c r="G422" s="230">
        <v>204.96668375192209</v>
      </c>
    </row>
    <row r="423" spans="1:7" ht="15.75" thickBot="1" x14ac:dyDescent="0.3">
      <c r="B423" s="220">
        <v>45689</v>
      </c>
      <c r="C423" s="259">
        <v>397.47224628473515</v>
      </c>
      <c r="D423" s="258">
        <v>334.04603469927929</v>
      </c>
      <c r="E423" s="262"/>
      <c r="G423" s="230">
        <v>206.21732444900053</v>
      </c>
    </row>
    <row r="424" spans="1:7" ht="15.75" thickBot="1" x14ac:dyDescent="0.3">
      <c r="B424" s="220">
        <v>45717</v>
      </c>
      <c r="C424" s="259">
        <v>395.64867230498248</v>
      </c>
      <c r="D424" s="258">
        <v>334.78402271271011</v>
      </c>
      <c r="E424" s="262"/>
      <c r="G424" s="230">
        <v>204.72065607380833</v>
      </c>
    </row>
    <row r="425" spans="1:7" ht="15.75" thickBot="1" x14ac:dyDescent="0.3">
      <c r="B425" s="220">
        <v>45748</v>
      </c>
      <c r="C425" s="259">
        <v>394.06026984955258</v>
      </c>
      <c r="D425" s="258">
        <v>329.0928134618855</v>
      </c>
      <c r="E425" s="262"/>
      <c r="G425" s="230">
        <v>204.96155817529473</v>
      </c>
    </row>
    <row r="426" spans="1:7" ht="15.75" thickBot="1" x14ac:dyDescent="0.3">
      <c r="B426" s="220">
        <v>45778</v>
      </c>
      <c r="C426" s="259">
        <v>396.91632756448774</v>
      </c>
      <c r="D426" s="258">
        <v>326.95213575335185</v>
      </c>
      <c r="E426" s="262"/>
      <c r="G426" s="230">
        <v>205.45873910814967</v>
      </c>
    </row>
    <row r="427" spans="1:7" ht="15.75" thickBot="1" x14ac:dyDescent="0.3">
      <c r="B427" s="220">
        <v>45809</v>
      </c>
      <c r="C427" s="259">
        <v>396.15676191955993</v>
      </c>
      <c r="D427" s="258">
        <v>322.48422667564893</v>
      </c>
      <c r="E427" s="262"/>
      <c r="G427" s="230">
        <v>206.46335212711429</v>
      </c>
    </row>
    <row r="428" spans="1:7" ht="15.75" thickBot="1" x14ac:dyDescent="0.3">
      <c r="B428" s="220">
        <v>45839</v>
      </c>
      <c r="C428" s="259">
        <v>397.4288264949875</v>
      </c>
      <c r="D428" s="258">
        <v>324.62601033239275</v>
      </c>
      <c r="E428" s="262"/>
      <c r="G428" s="230">
        <v>207.36032803690415</v>
      </c>
    </row>
    <row r="429" spans="1:7" ht="15.75" thickBot="1" x14ac:dyDescent="0.3">
      <c r="B429" s="220">
        <v>45870</v>
      </c>
      <c r="C429" s="259">
        <v>400.01448607349829</v>
      </c>
      <c r="D429" s="258">
        <v>327.11676379429372</v>
      </c>
      <c r="E429" s="262"/>
      <c r="G429" s="230">
        <v>206.40184520758584</v>
      </c>
    </row>
    <row r="430" spans="1:7" ht="15.75" thickBot="1" x14ac:dyDescent="0.3">
      <c r="B430" s="220">
        <v>45901</v>
      </c>
      <c r="C430" s="259">
        <v>398.36</v>
      </c>
      <c r="D430" s="258">
        <v>325.58999999999997</v>
      </c>
      <c r="E430" s="262"/>
      <c r="G430" s="230">
        <v>206.39159405433114</v>
      </c>
    </row>
    <row r="431" spans="1:7" ht="15.75" thickBot="1" x14ac:dyDescent="0.3">
      <c r="B431" s="220">
        <v>45931</v>
      </c>
      <c r="C431" s="259">
        <v>399.39239716305644</v>
      </c>
      <c r="D431" s="258">
        <v>320.47482662543558</v>
      </c>
      <c r="G431" s="230">
        <v>206.89711934156375</v>
      </c>
    </row>
    <row r="432" spans="1:7" ht="15.75" thickBot="1" x14ac:dyDescent="0.3">
      <c r="B432" s="220">
        <v>45962</v>
      </c>
      <c r="C432" s="259">
        <v>399.33394132299713</v>
      </c>
      <c r="D432" s="258">
        <v>321.78716402782339</v>
      </c>
      <c r="G432" s="230">
        <v>206.09053497942389</v>
      </c>
    </row>
    <row r="433" spans="1:7" ht="15.75" thickBot="1" x14ac:dyDescent="0.3">
      <c r="B433" s="217">
        <v>45992</v>
      </c>
      <c r="C433" s="260">
        <v>398.37749061629751</v>
      </c>
      <c r="D433" s="261">
        <v>320.49985822324595</v>
      </c>
      <c r="G433" s="230">
        <v>206.15637860082305</v>
      </c>
    </row>
    <row r="434" spans="1:7" ht="15.75" thickBot="1" x14ac:dyDescent="0.3">
      <c r="A434">
        <v>2026</v>
      </c>
      <c r="B434" s="218">
        <v>46023</v>
      </c>
      <c r="C434" s="259">
        <v>397.88949737079633</v>
      </c>
      <c r="D434" s="258">
        <v>315.88748590909557</v>
      </c>
      <c r="G434" s="230">
        <v>206.61728395061729</v>
      </c>
    </row>
    <row r="435" spans="1:7" ht="15" x14ac:dyDescent="0.25">
      <c r="B435" s="220">
        <v>46054</v>
      </c>
      <c r="G435" s="230">
        <v>207.93415637860079</v>
      </c>
    </row>
    <row r="436" spans="1:7" ht="15" x14ac:dyDescent="0.25">
      <c r="B436" s="220">
        <v>46082</v>
      </c>
    </row>
    <row r="437" spans="1:7" ht="15" x14ac:dyDescent="0.25">
      <c r="B437" s="220">
        <v>46113</v>
      </c>
    </row>
    <row r="438" spans="1:7" ht="15" x14ac:dyDescent="0.25">
      <c r="B438" s="220">
        <v>46143</v>
      </c>
    </row>
    <row r="439" spans="1:7" ht="15" x14ac:dyDescent="0.25">
      <c r="B439" s="220">
        <v>46174</v>
      </c>
    </row>
    <row r="440" spans="1:7" ht="15" x14ac:dyDescent="0.25">
      <c r="B440" s="220">
        <v>46204</v>
      </c>
    </row>
    <row r="441" spans="1:7" ht="15" x14ac:dyDescent="0.25">
      <c r="B441" s="220">
        <v>46235</v>
      </c>
    </row>
    <row r="442" spans="1:7" ht="15" x14ac:dyDescent="0.25">
      <c r="B442" s="220">
        <v>46266</v>
      </c>
    </row>
    <row r="443" spans="1:7" ht="15" x14ac:dyDescent="0.25">
      <c r="B443" s="220">
        <v>46296</v>
      </c>
    </row>
    <row r="444" spans="1:7" ht="15" x14ac:dyDescent="0.25">
      <c r="B444" s="220">
        <v>46327</v>
      </c>
    </row>
    <row r="445" spans="1:7" ht="15" x14ac:dyDescent="0.25">
      <c r="B445" s="217">
        <v>46357</v>
      </c>
    </row>
  </sheetData>
  <mergeCells count="2">
    <mergeCell ref="K2:K3"/>
    <mergeCell ref="L2:L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ppladdat arbetsrumsdokument" ma:contentTypeID="0x0101002EE44F411E754ABAB6EB27FC7D8442BF00FBDC29B7F7B140FA848AB6ABEF7636D900C7B4A579F8BA8D40B7676CF6BA55D0EF" ma:contentTypeVersion="4" ma:contentTypeDescription="Dokument som inte utgår från en av Trafikverket godkänd dokumentmall." ma:contentTypeScope="" ma:versionID="c766dcaad0c6d1b528504a9b7381286d">
  <xsd:schema xmlns:xsd="http://www.w3.org/2001/XMLSchema" xmlns:xs="http://www.w3.org/2001/XMLSchema" xmlns:p="http://schemas.microsoft.com/office/2006/metadata/properties" xmlns:ns1="Trafikverket" xmlns:ns3="36ad2b8f-2181-4457-9253-31459ed4b018" targetNamespace="http://schemas.microsoft.com/office/2006/metadata/properties" ma:root="true" ma:fieldsID="6b8c88df11331125eeaca5ecb53db9ce" ns1:_="" ns3:_="">
    <xsd:import namespace="Trafikverket"/>
    <xsd:import namespace="36ad2b8f-2181-4457-9253-31459ed4b018"/>
    <xsd:element name="properties">
      <xsd:complexType>
        <xsd:sequence>
          <xsd:element name="documentManagement">
            <xsd:complexType>
              <xsd:all>
                <xsd:element ref="ns1:Skapat_x0020_av_x0020_NY"/>
                <xsd:element ref="ns1:Dokumentdatum_x0020_NY"/>
                <xsd:element ref="ns1:TRVversionNY" minOccurs="0"/>
                <xsd:element ref="ns1:TrvDocumentTemplateId" minOccurs="0"/>
                <xsd:element ref="ns1:TrvDocumentTemplateVersion" minOccurs="0"/>
                <xsd:element ref="ns3:TrvUploadedDocumentTypeTaxHTField0" minOccurs="0"/>
                <xsd:element ref="ns3:TaxCatchAll" minOccurs="0"/>
                <xsd:element ref="ns3:TaxCatchAllLabel" minOccurs="0"/>
                <xsd:element ref="ns3:TrvConfidentialityLevelTaxHTField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Trafikverket" elementFormDefault="qualified">
    <xsd:import namespace="http://schemas.microsoft.com/office/2006/documentManagement/types"/>
    <xsd:import namespace="http://schemas.microsoft.com/office/infopath/2007/PartnerControls"/>
    <xsd:element name="Skapat_x0020_av_x0020_NY" ma:index="0" ma:displayName="Skapat av" ma:description="Namn och organisationsbeteckning för den person som skapat dokumentet." ma:internalName="TrvCreatedBy" ma:readOnly="false">
      <xsd:simpleType>
        <xsd:restriction base="dms:Text"/>
      </xsd:simpleType>
    </xsd:element>
    <xsd:element name="Dokumentdatum_x0020_NY" ma:index="2" ma:displayName="Dokumentdatum" ma:description="Datum för nuvarande version" ma:format="DateOnly" ma:internalName="TrvDocumentDate" ma:readOnly="false">
      <xsd:simpleType>
        <xsd:restriction base="dms:DateTime"/>
      </xsd:simpleType>
    </xsd:element>
    <xsd:element name="TRVversionNY" ma:index="8" nillable="true" ma:displayName="Version" ma:description="Dokumentets versionsnummer" ma:internalName="TrvVersion" ma:readOnly="true">
      <xsd:simpleType>
        <xsd:restriction base="dms:Text"/>
      </xsd:simpleType>
    </xsd:element>
    <xsd:element name="TrvDocumentTemplateId" ma:index="9" nillable="true" ma:displayName="TMALL-nummer" ma:description="Unik sträng eller nummer som identifierar dokumentmallen. Värdet sätts av respektive system." ma:internalName="TrvDocumentTemplateId" ma:readOnly="true">
      <xsd:simpleType>
        <xsd:restriction base="dms:Text"/>
      </xsd:simpleType>
    </xsd:element>
    <xsd:element name="TrvDocumentTemplateVersion" ma:index="10" nillable="true" ma:displayName="Mallversion" ma:description="Dokumentmallens versionsnummer" ma:internalName="TrvDocumentTemplateVers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ad2b8f-2181-4457-9253-31459ed4b018" elementFormDefault="qualified">
    <xsd:import namespace="http://schemas.microsoft.com/office/2006/documentManagement/types"/>
    <xsd:import namespace="http://schemas.microsoft.com/office/infopath/2007/PartnerControls"/>
    <xsd:element name="TrvUploadedDocumentTypeTaxHTField0" ma:index="13" ma:taxonomy="true" ma:internalName="TrvUploadedDocumentTypeTaxHTField0" ma:taxonomyFieldName="TrvUploadedDocumentType" ma:displayName="Dokumenttyp för uppladdade dokument" ma:readOnly="false" ma:default="149;#UPPLADDAT DOKUMENT|7c5b34d8-57da-44ed-9451-2f10a78af863" ma:fieldId="{eb96df49-af7b-4885-ae87-85b965eb0ad2}" ma:sspId="186cccb1-9fab-4187-b54f-d2fc3705fc8a" ma:termSetId="152f56a5-fdb2-4180-8a6e-79ef00400bc3" ma:anchorId="238613c4-8162-47c5-b0c8-3db178651ae8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description="" ma:hidden="true" ma:list="{289d0a56-51c6-4062-bcef-f5e7a34ed71c}" ma:internalName="TaxCatchAll" ma:showField="CatchAllData" ma:web="36ad2b8f-2181-4457-9253-31459ed4b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description="" ma:hidden="true" ma:list="{289d0a56-51c6-4062-bcef-f5e7a34ed71c}" ma:internalName="TaxCatchAllLabel" ma:readOnly="true" ma:showField="CatchAllDataLabel" ma:web="36ad2b8f-2181-4457-9253-31459ed4b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rvConfidentialityLevelTaxHTField0" ma:index="17" ma:taxonomy="true" ma:internalName="TrvConfidentialityLevelTaxHTField0" ma:taxonomyFieldName="TrvConfidentialityLevel" ma:displayName="Konfidentialitetsnivå" ma:readOnly="false" ma:default="" ma:fieldId="{a84a37ca-5c43-43e3-a37a-c23c41d1607d}" ma:sspId="186cccb1-9fab-4187-b54f-d2fc3705fc8a" ma:termSetId="4d666f29-dc73-4030-952a-63de8896f39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Innehållstyp"/>
        <xsd:element ref="dc:title" maxOccurs="1" ma:index="1" ma:displayName="Dokument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ad2b8f-2181-4457-9253-31459ed4b018">
      <Value>149</Value>
      <Value>159</Value>
    </TaxCatchAll>
    <Dokumentdatum_x0020_NY xmlns="Trafikverket">2022-07-07T22:00:00+00:00</Dokumentdatum_x0020_NY>
    <Skapat_x0020_av_x0020_NY xmlns="Trafikverket">Kristina Mattsson</Skapat_x0020_av_x0020_NY>
    <TrvUploadedDocumentTypeTaxHTField0 xmlns="36ad2b8f-2181-4457-9253-31459ed4b018">
      <Terms xmlns="http://schemas.microsoft.com/office/infopath/2007/PartnerControls">
        <TermInfo xmlns="http://schemas.microsoft.com/office/infopath/2007/PartnerControls">
          <TermName xmlns="http://schemas.microsoft.com/office/infopath/2007/PartnerControls">UPPLADDAT DOKUMENT</TermName>
          <TermId xmlns="http://schemas.microsoft.com/office/infopath/2007/PartnerControls">7c5b34d8-57da-44ed-9451-2f10a78af863</TermId>
        </TermInfo>
      </Terms>
    </TrvUploadedDocumentTypeTaxHTField0>
    <TrvConfidentialityLevelTaxHTField0 xmlns="36ad2b8f-2181-4457-9253-31459ed4b018">
      <Terms xmlns="http://schemas.microsoft.com/office/infopath/2007/PartnerControls">
        <TermInfo xmlns="http://schemas.microsoft.com/office/infopath/2007/PartnerControls">
          <TermName xmlns="http://schemas.microsoft.com/office/infopath/2007/PartnerControls">2 Intern</TermName>
          <TermId xmlns="http://schemas.microsoft.com/office/infopath/2007/PartnerControls">13d1762d-2ea9-450d-b05e-1ff9ba31b2a4</TermId>
        </TermInfo>
      </Terms>
    </TrvConfidentialityLevelTaxHTField0>
    <TRVversionNY xmlns="Trafikverket">0.1</TRVversionNY>
  </documentManagement>
</p:properties>
</file>

<file path=customXml/itemProps1.xml><?xml version="1.0" encoding="utf-8"?>
<ds:datastoreItem xmlns:ds="http://schemas.openxmlformats.org/officeDocument/2006/customXml" ds:itemID="{8E2FEC2F-E1C6-4FD6-AB66-6A36727B9D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AE72F0-BF2F-4A53-9E49-9E00B96378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Trafikverket"/>
    <ds:schemaRef ds:uri="36ad2b8f-2181-4457-9253-31459ed4b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ED87DC-645A-480C-861D-79D40F13772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Trafikverket"/>
    <ds:schemaRef ds:uri="http://purl.org/dc/elements/1.1/"/>
    <ds:schemaRef ds:uri="http://schemas.microsoft.com/office/2006/metadata/properties"/>
    <ds:schemaRef ds:uri="36ad2b8f-2181-4457-9253-31459ed4b018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Diskonteringsverktyg</vt:lpstr>
      <vt:lpstr>Beräkningar</vt:lpstr>
      <vt:lpstr>Indexomräkning kostnad</vt:lpstr>
      <vt:lpstr>Nuvärde inv kost</vt:lpstr>
      <vt:lpstr>Index och uppräkningsfaktorer</vt:lpstr>
    </vt:vector>
  </TitlesOfParts>
  <Company>Vägverket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lonkalk-2020-1.0-_med felsökning</dc:title>
  <dc:creator>Franzon, Anita Konsult</dc:creator>
  <cp:lastModifiedBy>Lindvall Emma, PLee</cp:lastModifiedBy>
  <cp:lastPrinted>2016-03-16T08:08:10Z</cp:lastPrinted>
  <dcterms:created xsi:type="dcterms:W3CDTF">2007-11-21T18:15:52Z</dcterms:created>
  <dcterms:modified xsi:type="dcterms:W3CDTF">2026-04-14T06:35:10Z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0x0101002EE44F411E754ABAB6EB27FC7D8442BF00FBDC29B7F7B140FA848AB6ABEF7636D900C7B4A579F8BA8D40B7676CF6BA55D0EF</vt:lpwstr>
  </property>
  <property fmtid="{D5CDD505-2E9C-101B-9397-08002B2CF9AE}" pid="3" name="TrvUploadedDocumentType">
    <vt:lpwstr>149</vt:lpwstr>
  </property>
  <property fmtid="{D5CDD505-2E9C-101B-9397-08002B2CF9AE}" pid="4" name="TrvConfidentialityLevel">
    <vt:lpwstr>159</vt:lpwstr>
  </property>
  <property fmtid="{D5CDD505-2E9C-101B-9397-08002B2CF9AE}" pid="5" name="TrvDocumentType">
    <vt:lpwstr>149</vt:lpwstr>
  </property>
  <property fmtid="{D5CDD505-2E9C-101B-9397-08002B2CF9AE}" pid="6" name="TrvDocumentTypeTaxHTField0">
    <vt:lpwstr>UPPLADDAT DOKUMENT|7c5b34d8-57da-44ed-9451-2f10a78af863</vt:lpwstr>
  </property>
</Properties>
</file>