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.Samhällsekonomi\1.1.Personmappar\Stefan G\Verktyg\ASEK 8 Verktyg\"/>
    </mc:Choice>
  </mc:AlternateContent>
  <xr:revisionPtr revIDLastSave="0" documentId="13_ncr:1_{2C78BCBC-8A67-4684-BDBF-B8782D02E0C5}" xr6:coauthVersionLast="47" xr6:coauthVersionMax="47" xr10:uidLastSave="{00000000-0000-0000-0000-000000000000}"/>
  <bookViews>
    <workbookView xWindow="28680" yWindow="-120" windowWidth="29040" windowHeight="15840" tabRatio="922" xr2:uid="{00000000-000D-0000-FFFF-FFFF00000000}"/>
  </bookViews>
  <sheets>
    <sheet name="Diskonteringsverktyg" sheetId="16" r:id="rId1"/>
    <sheet name="Information" sheetId="17" r:id="rId2"/>
  </sheets>
  <externalReferences>
    <externalReference r:id="rId3"/>
    <externalReference r:id="rId4"/>
  </externalReferences>
  <definedNames>
    <definedName name="Byggstartår" localSheetId="0">Diskonteringsverktyg!#REF!</definedName>
    <definedName name="Byggstartår">#REF!</definedName>
    <definedName name="Byggstartåret" localSheetId="0">Diskonteringsverktyg!#REF!</definedName>
    <definedName name="Byggstartåret">#REF!</definedName>
    <definedName name="Datum">#REF!</definedName>
    <definedName name="Diskonteringsår" localSheetId="0">Diskonteringsverktyg!$D$10</definedName>
    <definedName name="Diskonteringsår">#REF!</definedName>
    <definedName name="Diskonteringsåret" localSheetId="0">Diskonteringsverktyg!$D$10</definedName>
    <definedName name="Diskonteringsåret">#REF!</definedName>
    <definedName name="Fil_från" localSheetId="0">[1]Beräkningar!#REF!</definedName>
    <definedName name="Fil_från">[1]Beräkningar!#REF!</definedName>
    <definedName name="Filer">[1]START!$O$1:$O$25</definedName>
    <definedName name="Filervisa">[1]START!$P$1:$P$25</definedName>
    <definedName name="KALKYLPERIOD" localSheetId="0">Diskonteringsverktyg!$D$16</definedName>
    <definedName name="KALKYLPERIOD">#REF!</definedName>
    <definedName name="Kontor">[2]Inrapportering!$E$5</definedName>
    <definedName name="Län">[1]Beräkningar!$GS$14:$GS$34</definedName>
    <definedName name="LänKommun">[1]Beräkningar!$GJ$14:$GJ$314</definedName>
    <definedName name="Namn">#REF!</definedName>
    <definedName name="objekt">#REF!</definedName>
    <definedName name="Projektkontor">[2]Inrapportering!$E$4</definedName>
    <definedName name="Trafikstartår" localSheetId="0">Diskonteringsverktyg!$D$12</definedName>
    <definedName name="Trafikstartår">#REF!</definedName>
    <definedName name="_xlnm.Print_Area" localSheetId="0">Diskonteringsverktyg!$A$1:$AT$76</definedName>
    <definedName name="Valt_projektkontor" localSheetId="0">#REF!</definedName>
    <definedName name="Valt_projektkontor">#REF!</definedName>
    <definedName name="Valt_år">[2]Inrapportering!$AH$2</definedName>
    <definedName name="Valtår" localSheetId="0">#REF!</definedName>
    <definedName name="Valtår">#REF!</definedName>
    <definedName name="Vägtyplista">[1]Beräkningar!$GP$54:$GP$66</definedName>
    <definedName name="ÅR">"""='med trafiktillväxt'!$F$3:$F$"" &amp; 3 + 'med trafiktillväxt'!$B$18"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6" l="1"/>
  <c r="Q6" i="16"/>
  <c r="AC6" i="16" s="1"/>
  <c r="D13" i="16"/>
  <c r="S44" i="16" l="1"/>
  <c r="S45" i="16"/>
  <c r="S46" i="16"/>
  <c r="S47" i="16"/>
  <c r="S48" i="16"/>
  <c r="S49" i="16"/>
  <c r="S50" i="16"/>
  <c r="S51" i="16"/>
  <c r="S52" i="16"/>
  <c r="S53" i="16"/>
  <c r="S54" i="16"/>
  <c r="S55" i="16"/>
  <c r="S56" i="16"/>
  <c r="S57" i="16"/>
  <c r="S58" i="16"/>
  <c r="S59" i="16"/>
  <c r="S60" i="16"/>
  <c r="S61" i="16"/>
  <c r="S62" i="16"/>
  <c r="S63" i="16"/>
  <c r="S64" i="16"/>
  <c r="S65" i="16"/>
  <c r="S43" i="16"/>
  <c r="AD7" i="16"/>
  <c r="AD8" i="16" s="1"/>
  <c r="AD9" i="16" s="1"/>
  <c r="AD10" i="16" s="1"/>
  <c r="AD11" i="16" s="1"/>
  <c r="AD12" i="16" s="1"/>
  <c r="AD13" i="16" s="1"/>
  <c r="AD14" i="16" s="1"/>
  <c r="AD15" i="16" s="1"/>
  <c r="AD16" i="16" s="1"/>
  <c r="AD17" i="16" s="1"/>
  <c r="AD18" i="16" s="1"/>
  <c r="AD19" i="16" s="1"/>
  <c r="AD20" i="16" s="1"/>
  <c r="AD21" i="16" s="1"/>
  <c r="AD22" i="16" s="1"/>
  <c r="AD23" i="16" s="1"/>
  <c r="AD24" i="16" s="1"/>
  <c r="AD25" i="16" s="1"/>
  <c r="AD26" i="16" s="1"/>
  <c r="AD27" i="16" s="1"/>
  <c r="AD28" i="16" s="1"/>
  <c r="AD29" i="16" s="1"/>
  <c r="AD30" i="16" s="1"/>
  <c r="AD31" i="16" s="1"/>
  <c r="AD32" i="16" s="1"/>
  <c r="AD33" i="16" s="1"/>
  <c r="AD34" i="16" s="1"/>
  <c r="AD35" i="16" s="1"/>
  <c r="AD36" i="16" s="1"/>
  <c r="AD37" i="16" s="1"/>
  <c r="AD38" i="16" s="1"/>
  <c r="AD39" i="16" s="1"/>
  <c r="AD40" i="16" s="1"/>
  <c r="AD41" i="16" s="1"/>
  <c r="AD42" i="16" s="1"/>
  <c r="AD43" i="16" s="1"/>
  <c r="AD44" i="16" s="1"/>
  <c r="AD45" i="16" s="1"/>
  <c r="AD46" i="16" s="1"/>
  <c r="AD47" i="16" s="1"/>
  <c r="AD48" i="16" s="1"/>
  <c r="AD49" i="16" s="1"/>
  <c r="AD50" i="16" s="1"/>
  <c r="AD51" i="16" s="1"/>
  <c r="AD52" i="16" s="1"/>
  <c r="AD53" i="16" s="1"/>
  <c r="AD54" i="16" s="1"/>
  <c r="AD55" i="16" s="1"/>
  <c r="AD56" i="16" s="1"/>
  <c r="AD57" i="16" s="1"/>
  <c r="AD58" i="16" s="1"/>
  <c r="AD59" i="16" s="1"/>
  <c r="AD60" i="16" s="1"/>
  <c r="AD61" i="16" s="1"/>
  <c r="AD62" i="16" s="1"/>
  <c r="AD63" i="16" s="1"/>
  <c r="AD64" i="16" s="1"/>
  <c r="AD65" i="16" s="1"/>
  <c r="AD6" i="16"/>
  <c r="D31" i="16" l="1"/>
  <c r="S7" i="16" l="1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Q8" i="16" l="1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76" i="16"/>
  <c r="R11" i="16" l="1"/>
  <c r="V11" i="16" s="1"/>
  <c r="R18" i="16"/>
  <c r="V18" i="16"/>
  <c r="R10" i="16"/>
  <c r="V10" i="16"/>
  <c r="R17" i="16"/>
  <c r="V17" i="16" s="1"/>
  <c r="R9" i="16"/>
  <c r="V9" i="16" s="1"/>
  <c r="R16" i="16"/>
  <c r="V16" i="16" s="1"/>
  <c r="R8" i="16"/>
  <c r="T8" i="16" s="1"/>
  <c r="R15" i="16"/>
  <c r="V15" i="16"/>
  <c r="R7" i="16"/>
  <c r="T7" i="16" s="1"/>
  <c r="U7" i="16" s="1"/>
  <c r="R14" i="16"/>
  <c r="V14" i="16" s="1"/>
  <c r="R6" i="16"/>
  <c r="T6" i="16" s="1"/>
  <c r="S6" i="16"/>
  <c r="R12" i="16"/>
  <c r="V12" i="16" s="1"/>
  <c r="R13" i="16"/>
  <c r="V13" i="16" s="1"/>
  <c r="Q9" i="16"/>
  <c r="Q10" i="16"/>
  <c r="Q11" i="16"/>
  <c r="T11" i="16" s="1"/>
  <c r="Q12" i="16"/>
  <c r="Q13" i="16"/>
  <c r="Q14" i="16"/>
  <c r="Q15" i="16"/>
  <c r="T15" i="16" s="1"/>
  <c r="Q16" i="16"/>
  <c r="Q17" i="16"/>
  <c r="Q18" i="16"/>
  <c r="T18" i="16" s="1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Q48" i="16"/>
  <c r="Q49" i="16"/>
  <c r="Q50" i="16"/>
  <c r="Q51" i="16"/>
  <c r="Q52" i="16"/>
  <c r="Q53" i="16"/>
  <c r="Q54" i="16"/>
  <c r="Q55" i="16"/>
  <c r="Q56" i="16"/>
  <c r="Q57" i="16"/>
  <c r="Q58" i="16"/>
  <c r="Q59" i="16"/>
  <c r="Q60" i="16"/>
  <c r="Q61" i="16"/>
  <c r="Q62" i="16"/>
  <c r="Q63" i="16"/>
  <c r="Q64" i="16"/>
  <c r="Q65" i="16"/>
  <c r="T10" i="16" l="1"/>
  <c r="T16" i="16"/>
  <c r="T9" i="16"/>
  <c r="T12" i="16"/>
  <c r="U6" i="16"/>
  <c r="V7" i="16"/>
  <c r="T14" i="16"/>
  <c r="T13" i="16"/>
  <c r="V8" i="16"/>
  <c r="T17" i="16"/>
  <c r="V6" i="16"/>
  <c r="W6" i="16"/>
  <c r="AA6" i="16"/>
  <c r="Z6" i="16"/>
  <c r="Y6" i="16"/>
  <c r="X6" i="16"/>
  <c r="AB6" i="16" l="1"/>
  <c r="AD5" i="16"/>
  <c r="AC7" i="16" l="1"/>
  <c r="AC8" i="16"/>
  <c r="AC9" i="16"/>
  <c r="AC10" i="16"/>
  <c r="AC11" i="16"/>
  <c r="AC12" i="16"/>
  <c r="AC13" i="16"/>
  <c r="AC14" i="16"/>
  <c r="AC15" i="16"/>
  <c r="AC16" i="16"/>
  <c r="AC17" i="16"/>
  <c r="AC18" i="16"/>
  <c r="AC19" i="16"/>
  <c r="AC20" i="16"/>
  <c r="AC21" i="16"/>
  <c r="AC22" i="16"/>
  <c r="AC23" i="16"/>
  <c r="AC24" i="16"/>
  <c r="AC25" i="16"/>
  <c r="AC26" i="16"/>
  <c r="AC27" i="16"/>
  <c r="AC28" i="16"/>
  <c r="AC29" i="16"/>
  <c r="AC30" i="16"/>
  <c r="AC31" i="16"/>
  <c r="AC32" i="16"/>
  <c r="AC33" i="16"/>
  <c r="AC34" i="16"/>
  <c r="AC35" i="16"/>
  <c r="AC36" i="16"/>
  <c r="AC37" i="16"/>
  <c r="AC38" i="16"/>
  <c r="AC39" i="16"/>
  <c r="AC40" i="16"/>
  <c r="AC41" i="16"/>
  <c r="AC42" i="16"/>
  <c r="AC43" i="16"/>
  <c r="AC44" i="16"/>
  <c r="AC45" i="16"/>
  <c r="AC46" i="16"/>
  <c r="AC47" i="16"/>
  <c r="AC48" i="16"/>
  <c r="AC49" i="16"/>
  <c r="AC50" i="16"/>
  <c r="AC51" i="16"/>
  <c r="AC52" i="16"/>
  <c r="AC53" i="16"/>
  <c r="AC54" i="16"/>
  <c r="AC55" i="16"/>
  <c r="AC56" i="16"/>
  <c r="AC57" i="16"/>
  <c r="AC58" i="16"/>
  <c r="AC59" i="16"/>
  <c r="AC60" i="16"/>
  <c r="AC61" i="16"/>
  <c r="AC62" i="16"/>
  <c r="AC63" i="16"/>
  <c r="AC64" i="16"/>
  <c r="AC65" i="16"/>
  <c r="AC5" i="16" l="1"/>
  <c r="AE6" i="16"/>
  <c r="J10" i="16" l="1"/>
  <c r="J11" i="16"/>
  <c r="AE7" i="16"/>
  <c r="AE8" i="16"/>
  <c r="AE9" i="16"/>
  <c r="AE10" i="16"/>
  <c r="AE11" i="16"/>
  <c r="AE12" i="16"/>
  <c r="AE13" i="16"/>
  <c r="AE14" i="16"/>
  <c r="AE15" i="16"/>
  <c r="AE16" i="16"/>
  <c r="AE17" i="16"/>
  <c r="AE18" i="16"/>
  <c r="AE19" i="16"/>
  <c r="AE20" i="16"/>
  <c r="AE21" i="16"/>
  <c r="AE22" i="16"/>
  <c r="AE23" i="16"/>
  <c r="AE24" i="16"/>
  <c r="AE25" i="16"/>
  <c r="AE26" i="16"/>
  <c r="AE27" i="16"/>
  <c r="AE28" i="16"/>
  <c r="AE29" i="16"/>
  <c r="AE30" i="16"/>
  <c r="AE31" i="16"/>
  <c r="AE32" i="16"/>
  <c r="AE33" i="16"/>
  <c r="AE34" i="16"/>
  <c r="AE35" i="16"/>
  <c r="AE36" i="16"/>
  <c r="AE37" i="16"/>
  <c r="AE38" i="16"/>
  <c r="AE39" i="16"/>
  <c r="AE40" i="16"/>
  <c r="AE41" i="16"/>
  <c r="AE42" i="16"/>
  <c r="AE43" i="16"/>
  <c r="AE44" i="16"/>
  <c r="AE45" i="16"/>
  <c r="AE46" i="16"/>
  <c r="AE47" i="16"/>
  <c r="AE48" i="16"/>
  <c r="AE49" i="16"/>
  <c r="AE50" i="16"/>
  <c r="AE51" i="16"/>
  <c r="AE52" i="16"/>
  <c r="AE53" i="16"/>
  <c r="AE54" i="16"/>
  <c r="AE55" i="16"/>
  <c r="AE56" i="16"/>
  <c r="AE57" i="16"/>
  <c r="AE58" i="16"/>
  <c r="AE59" i="16"/>
  <c r="AE60" i="16"/>
  <c r="AE61" i="16"/>
  <c r="AE62" i="16"/>
  <c r="AE63" i="16"/>
  <c r="AE64" i="16"/>
  <c r="AE65" i="16"/>
  <c r="AE5" i="16" l="1"/>
  <c r="J12" i="16" s="1"/>
  <c r="AA14" i="16"/>
  <c r="J13" i="16" l="1"/>
  <c r="AA12" i="16"/>
  <c r="AA8" i="16"/>
  <c r="AA10" i="16"/>
  <c r="AA18" i="16"/>
  <c r="AA16" i="16"/>
  <c r="AA17" i="16"/>
  <c r="AA15" i="16"/>
  <c r="AA9" i="16"/>
  <c r="AA7" i="16"/>
  <c r="AA13" i="16"/>
  <c r="AA11" i="16"/>
  <c r="C37" i="16"/>
  <c r="C38" i="16"/>
  <c r="C39" i="16"/>
  <c r="C40" i="16"/>
  <c r="C41" i="16"/>
  <c r="C42" i="16"/>
  <c r="U18" i="16" l="1"/>
  <c r="Z18" i="16" l="1"/>
  <c r="Y18" i="16"/>
  <c r="X18" i="16"/>
  <c r="W18" i="16" l="1"/>
  <c r="AB18" i="16" s="1"/>
  <c r="U9" i="16" l="1"/>
  <c r="Z9" i="16" s="1"/>
  <c r="U13" i="16"/>
  <c r="Z13" i="16" s="1"/>
  <c r="U10" i="16"/>
  <c r="X10" i="16" s="1"/>
  <c r="U15" i="16"/>
  <c r="Y15" i="16" s="1"/>
  <c r="U14" i="16"/>
  <c r="Z14" i="16" s="1"/>
  <c r="U8" i="16"/>
  <c r="Z8" i="16" s="1"/>
  <c r="U12" i="16"/>
  <c r="X12" i="16" s="1"/>
  <c r="U11" i="16"/>
  <c r="Z11" i="16" s="1"/>
  <c r="U16" i="16"/>
  <c r="Z16" i="16" s="1"/>
  <c r="U17" i="16"/>
  <c r="Y17" i="16" s="1"/>
  <c r="Z7" i="16"/>
  <c r="W8" i="16" l="1"/>
  <c r="W15" i="16"/>
  <c r="X7" i="16"/>
  <c r="W7" i="16"/>
  <c r="W9" i="16"/>
  <c r="Y13" i="16"/>
  <c r="Y7" i="16"/>
  <c r="Y12" i="16"/>
  <c r="Y16" i="16"/>
  <c r="Y11" i="16"/>
  <c r="Y8" i="16"/>
  <c r="X17" i="16"/>
  <c r="Y14" i="16"/>
  <c r="W17" i="16"/>
  <c r="W11" i="16"/>
  <c r="W12" i="16"/>
  <c r="W14" i="16"/>
  <c r="X13" i="16"/>
  <c r="X15" i="16"/>
  <c r="X16" i="16"/>
  <c r="Z10" i="16"/>
  <c r="Y9" i="16"/>
  <c r="X8" i="16"/>
  <c r="Z17" i="16"/>
  <c r="X14" i="16"/>
  <c r="W16" i="16"/>
  <c r="Z12" i="16"/>
  <c r="Z15" i="16"/>
  <c r="Y10" i="16"/>
  <c r="X11" i="16"/>
  <c r="X9" i="16"/>
  <c r="W10" i="16"/>
  <c r="W13" i="16"/>
  <c r="AB8" i="16" l="1"/>
  <c r="AB10" i="16"/>
  <c r="AB7" i="16"/>
  <c r="AB13" i="16"/>
  <c r="AB9" i="16"/>
  <c r="AB16" i="16"/>
  <c r="AB15" i="16"/>
  <c r="AB17" i="16"/>
  <c r="AB11" i="16"/>
  <c r="AB12" i="16"/>
  <c r="AB14" i="16"/>
  <c r="R19" i="16" l="1"/>
  <c r="V19" i="16" s="1"/>
  <c r="T19" i="16" l="1"/>
  <c r="AA19" i="16" l="1"/>
  <c r="U19" i="16"/>
  <c r="X19" i="16" l="1"/>
  <c r="Y19" i="16"/>
  <c r="Z19" i="16"/>
  <c r="W19" i="16"/>
  <c r="AB19" i="16" l="1"/>
  <c r="R23" i="16"/>
  <c r="R22" i="16"/>
  <c r="R20" i="16"/>
  <c r="V20" i="16" s="1"/>
  <c r="R21" i="16"/>
  <c r="T21" i="16" l="1"/>
  <c r="V21" i="16"/>
  <c r="T22" i="16"/>
  <c r="AA22" i="16" s="1"/>
  <c r="V22" i="16"/>
  <c r="T23" i="16"/>
  <c r="AA23" i="16" s="1"/>
  <c r="V23" i="16"/>
  <c r="T20" i="16"/>
  <c r="U20" i="16" s="1"/>
  <c r="X20" i="16" s="1"/>
  <c r="U21" i="16"/>
  <c r="AA21" i="16"/>
  <c r="U22" i="16" l="1"/>
  <c r="U23" i="16"/>
  <c r="W23" i="16" s="1"/>
  <c r="W20" i="16"/>
  <c r="Y20" i="16"/>
  <c r="Z20" i="16"/>
  <c r="AB20" i="16" s="1"/>
  <c r="AA20" i="16"/>
  <c r="Z23" i="16"/>
  <c r="Y23" i="16"/>
  <c r="X22" i="16"/>
  <c r="Y22" i="16"/>
  <c r="Z22" i="16"/>
  <c r="W22" i="16"/>
  <c r="X21" i="16"/>
  <c r="W21" i="16"/>
  <c r="Z21" i="16"/>
  <c r="Y21" i="16"/>
  <c r="R34" i="16"/>
  <c r="R38" i="16"/>
  <c r="V38" i="16" s="1"/>
  <c r="R41" i="16"/>
  <c r="V41" i="16" s="1"/>
  <c r="R26" i="16"/>
  <c r="R31" i="16"/>
  <c r="V31" i="16" s="1"/>
  <c r="R32" i="16"/>
  <c r="V32" i="16" s="1"/>
  <c r="R40" i="16"/>
  <c r="V40" i="16" s="1"/>
  <c r="R42" i="16"/>
  <c r="R33" i="16"/>
  <c r="V33" i="16" s="1"/>
  <c r="R43" i="16"/>
  <c r="T43" i="16" s="1"/>
  <c r="R45" i="16"/>
  <c r="T45" i="16" s="1"/>
  <c r="R29" i="16"/>
  <c r="V29" i="16" s="1"/>
  <c r="R28" i="16"/>
  <c r="R35" i="16"/>
  <c r="R30" i="16"/>
  <c r="R39" i="16"/>
  <c r="V39" i="16" s="1"/>
  <c r="R24" i="16"/>
  <c r="V24" i="16" s="1"/>
  <c r="R27" i="16"/>
  <c r="V27" i="16" s="1"/>
  <c r="R44" i="16"/>
  <c r="T44" i="16" s="1"/>
  <c r="R36" i="16"/>
  <c r="R37" i="16"/>
  <c r="V37" i="16" s="1"/>
  <c r="R46" i="16"/>
  <c r="R25" i="16"/>
  <c r="V25" i="16" s="1"/>
  <c r="X23" i="16" l="1"/>
  <c r="T30" i="16"/>
  <c r="V30" i="16"/>
  <c r="T26" i="16"/>
  <c r="V26" i="16"/>
  <c r="T35" i="16"/>
  <c r="AA35" i="16" s="1"/>
  <c r="V35" i="16"/>
  <c r="T36" i="16"/>
  <c r="U36" i="16" s="1"/>
  <c r="V36" i="16"/>
  <c r="T28" i="16"/>
  <c r="V28" i="16"/>
  <c r="T34" i="16"/>
  <c r="V34" i="16"/>
  <c r="T42" i="16"/>
  <c r="U42" i="16" s="1"/>
  <c r="V42" i="16"/>
  <c r="T29" i="16"/>
  <c r="AA29" i="16" s="1"/>
  <c r="T25" i="16"/>
  <c r="AA25" i="16" s="1"/>
  <c r="T38" i="16"/>
  <c r="AA38" i="16" s="1"/>
  <c r="T37" i="16"/>
  <c r="AA37" i="16" s="1"/>
  <c r="T24" i="16"/>
  <c r="AA24" i="16" s="1"/>
  <c r="T46" i="16"/>
  <c r="AA46" i="16" s="1"/>
  <c r="R51" i="16"/>
  <c r="R65" i="16"/>
  <c r="R50" i="16"/>
  <c r="R54" i="16"/>
  <c r="R58" i="16"/>
  <c r="R60" i="16"/>
  <c r="R63" i="16"/>
  <c r="T63" i="16" s="1"/>
  <c r="U63" i="16" s="1"/>
  <c r="R64" i="16"/>
  <c r="T27" i="16"/>
  <c r="U27" i="16" s="1"/>
  <c r="X27" i="16" s="1"/>
  <c r="R55" i="16"/>
  <c r="R47" i="16"/>
  <c r="R57" i="16"/>
  <c r="T57" i="16" s="1"/>
  <c r="U57" i="16" s="1"/>
  <c r="R56" i="16"/>
  <c r="R53" i="16"/>
  <c r="U37" i="16"/>
  <c r="W37" i="16" s="1"/>
  <c r="R52" i="16"/>
  <c r="R59" i="16"/>
  <c r="R49" i="16"/>
  <c r="T49" i="16" s="1"/>
  <c r="R62" i="16"/>
  <c r="R61" i="16"/>
  <c r="R48" i="16"/>
  <c r="T40" i="16"/>
  <c r="AA30" i="16"/>
  <c r="U30" i="16"/>
  <c r="U34" i="16"/>
  <c r="AA34" i="16"/>
  <c r="U35" i="16"/>
  <c r="AA28" i="16"/>
  <c r="U28" i="16"/>
  <c r="AA26" i="16"/>
  <c r="U26" i="16"/>
  <c r="U43" i="16"/>
  <c r="AA43" i="16"/>
  <c r="U44" i="16"/>
  <c r="AA44" i="16"/>
  <c r="U45" i="16"/>
  <c r="AA45" i="16"/>
  <c r="T39" i="16"/>
  <c r="T33" i="16"/>
  <c r="T31" i="16"/>
  <c r="U24" i="16"/>
  <c r="U46" i="16"/>
  <c r="T32" i="16"/>
  <c r="T41" i="16"/>
  <c r="U38" i="16"/>
  <c r="T48" i="16"/>
  <c r="AB21" i="16"/>
  <c r="AB23" i="16"/>
  <c r="AB22" i="16"/>
  <c r="AA42" i="16" l="1"/>
  <c r="V45" i="16"/>
  <c r="V51" i="16"/>
  <c r="V57" i="16"/>
  <c r="V44" i="16"/>
  <c r="V58" i="16"/>
  <c r="V62" i="16"/>
  <c r="V64" i="16"/>
  <c r="V54" i="16"/>
  <c r="V61" i="16"/>
  <c r="V48" i="16"/>
  <c r="V43" i="16"/>
  <c r="V63" i="16"/>
  <c r="V46" i="16"/>
  <c r="V53" i="16"/>
  <c r="V55" i="16"/>
  <c r="V60" i="16"/>
  <c r="V65" i="16"/>
  <c r="V49" i="16"/>
  <c r="V47" i="16"/>
  <c r="V52" i="16"/>
  <c r="V50" i="16"/>
  <c r="V56" i="16"/>
  <c r="V59" i="16"/>
  <c r="AA36" i="16"/>
  <c r="U25" i="16"/>
  <c r="Z25" i="16" s="1"/>
  <c r="U29" i="16"/>
  <c r="Z37" i="16"/>
  <c r="T47" i="16"/>
  <c r="AA47" i="16" s="1"/>
  <c r="T50" i="16"/>
  <c r="T59" i="16"/>
  <c r="T64" i="16"/>
  <c r="T51" i="16"/>
  <c r="T56" i="16"/>
  <c r="U56" i="16" s="1"/>
  <c r="Y56" i="16" s="1"/>
  <c r="T58" i="16"/>
  <c r="T53" i="16"/>
  <c r="AA53" i="16" s="1"/>
  <c r="AA63" i="16"/>
  <c r="T54" i="16"/>
  <c r="T52" i="16"/>
  <c r="Z27" i="16"/>
  <c r="Y27" i="16"/>
  <c r="W27" i="16"/>
  <c r="T62" i="16"/>
  <c r="T61" i="16"/>
  <c r="T60" i="16"/>
  <c r="U60" i="16" s="1"/>
  <c r="T55" i="16"/>
  <c r="T65" i="16"/>
  <c r="AA56" i="16"/>
  <c r="AA57" i="16"/>
  <c r="AA27" i="16"/>
  <c r="AA40" i="16"/>
  <c r="U40" i="16"/>
  <c r="X37" i="16"/>
  <c r="Y37" i="16"/>
  <c r="X25" i="16"/>
  <c r="W25" i="16"/>
  <c r="U41" i="16"/>
  <c r="AA41" i="16"/>
  <c r="Z24" i="16"/>
  <c r="Y24" i="16"/>
  <c r="W24" i="16"/>
  <c r="X24" i="16"/>
  <c r="U33" i="16"/>
  <c r="AA33" i="16"/>
  <c r="W44" i="16"/>
  <c r="X44" i="16"/>
  <c r="Z44" i="16"/>
  <c r="Y44" i="16"/>
  <c r="Z36" i="16"/>
  <c r="W36" i="16"/>
  <c r="X36" i="16"/>
  <c r="Y36" i="16"/>
  <c r="Y57" i="16"/>
  <c r="X57" i="16"/>
  <c r="W57" i="16"/>
  <c r="Z57" i="16"/>
  <c r="AA50" i="16"/>
  <c r="U50" i="16"/>
  <c r="W26" i="16"/>
  <c r="Z26" i="16"/>
  <c r="Y26" i="16"/>
  <c r="X26" i="16"/>
  <c r="Y42" i="16"/>
  <c r="X42" i="16"/>
  <c r="W42" i="16"/>
  <c r="Z42" i="16"/>
  <c r="X35" i="16"/>
  <c r="Z35" i="16"/>
  <c r="Y35" i="16"/>
  <c r="W35" i="16"/>
  <c r="X63" i="16"/>
  <c r="W63" i="16"/>
  <c r="Y63" i="16"/>
  <c r="Z63" i="16"/>
  <c r="W34" i="16"/>
  <c r="X34" i="16"/>
  <c r="Y34" i="16"/>
  <c r="Z34" i="16"/>
  <c r="X28" i="16"/>
  <c r="W28" i="16"/>
  <c r="Z28" i="16"/>
  <c r="Y28" i="16"/>
  <c r="U39" i="16"/>
  <c r="AA39" i="16"/>
  <c r="W38" i="16"/>
  <c r="Y38" i="16"/>
  <c r="Z38" i="16"/>
  <c r="X38" i="16"/>
  <c r="X46" i="16"/>
  <c r="Z46" i="16"/>
  <c r="W46" i="16"/>
  <c r="Y46" i="16"/>
  <c r="W45" i="16"/>
  <c r="Z45" i="16"/>
  <c r="X45" i="16"/>
  <c r="Y45" i="16"/>
  <c r="X43" i="16"/>
  <c r="Y43" i="16"/>
  <c r="W43" i="16"/>
  <c r="Z43" i="16"/>
  <c r="Y30" i="16"/>
  <c r="W30" i="16"/>
  <c r="X30" i="16"/>
  <c r="Z30" i="16"/>
  <c r="U32" i="16"/>
  <c r="AA32" i="16"/>
  <c r="U49" i="16"/>
  <c r="AA49" i="16"/>
  <c r="U48" i="16"/>
  <c r="AA48" i="16"/>
  <c r="U47" i="16"/>
  <c r="AA31" i="16"/>
  <c r="U31" i="16"/>
  <c r="Y25" i="16" l="1"/>
  <c r="X29" i="16"/>
  <c r="Z29" i="16"/>
  <c r="Y29" i="16"/>
  <c r="W29" i="16"/>
  <c r="AB29" i="16" s="1"/>
  <c r="U53" i="16"/>
  <c r="Z53" i="16" s="1"/>
  <c r="AA60" i="16"/>
  <c r="AB37" i="16"/>
  <c r="AB27" i="16"/>
  <c r="V5" i="16"/>
  <c r="J7" i="16" s="1"/>
  <c r="U52" i="16"/>
  <c r="AA52" i="16"/>
  <c r="AA61" i="16"/>
  <c r="U61" i="16"/>
  <c r="AA65" i="16"/>
  <c r="U65" i="16"/>
  <c r="U54" i="16"/>
  <c r="AA54" i="16"/>
  <c r="U51" i="16"/>
  <c r="AA51" i="16"/>
  <c r="X56" i="16"/>
  <c r="U62" i="16"/>
  <c r="AA62" i="16"/>
  <c r="AA64" i="16"/>
  <c r="U64" i="16"/>
  <c r="Z56" i="16"/>
  <c r="U55" i="16"/>
  <c r="AA55" i="16"/>
  <c r="AA58" i="16"/>
  <c r="U58" i="16"/>
  <c r="W56" i="16"/>
  <c r="AA59" i="16"/>
  <c r="U59" i="16"/>
  <c r="AB26" i="16"/>
  <c r="AB38" i="16"/>
  <c r="AB44" i="16"/>
  <c r="Z40" i="16"/>
  <c r="Y40" i="16"/>
  <c r="X40" i="16"/>
  <c r="W40" i="16"/>
  <c r="AB57" i="16"/>
  <c r="AB46" i="16"/>
  <c r="Z32" i="16"/>
  <c r="W32" i="16"/>
  <c r="X32" i="16"/>
  <c r="Y32" i="16"/>
  <c r="AB28" i="16"/>
  <c r="Z33" i="16"/>
  <c r="X33" i="16"/>
  <c r="W33" i="16"/>
  <c r="Y33" i="16"/>
  <c r="AB43" i="16"/>
  <c r="W31" i="16"/>
  <c r="Z31" i="16"/>
  <c r="Y31" i="16"/>
  <c r="X31" i="16"/>
  <c r="AB35" i="16"/>
  <c r="X50" i="16"/>
  <c r="Z50" i="16"/>
  <c r="Y50" i="16"/>
  <c r="W50" i="16"/>
  <c r="AB36" i="16"/>
  <c r="AB25" i="16"/>
  <c r="W49" i="16"/>
  <c r="Y49" i="16"/>
  <c r="X49" i="16"/>
  <c r="Z49" i="16"/>
  <c r="Y41" i="16"/>
  <c r="W41" i="16"/>
  <c r="Z41" i="16"/>
  <c r="X41" i="16"/>
  <c r="AB34" i="16"/>
  <c r="AB30" i="16"/>
  <c r="Z60" i="16"/>
  <c r="W60" i="16"/>
  <c r="X60" i="16"/>
  <c r="Y60" i="16"/>
  <c r="AB63" i="16"/>
  <c r="AB24" i="16"/>
  <c r="X39" i="16"/>
  <c r="W39" i="16"/>
  <c r="Y39" i="16"/>
  <c r="Z39" i="16"/>
  <c r="AB42" i="16"/>
  <c r="Y47" i="16"/>
  <c r="W47" i="16"/>
  <c r="X47" i="16"/>
  <c r="Z47" i="16"/>
  <c r="X48" i="16"/>
  <c r="W48" i="16"/>
  <c r="Y48" i="16"/>
  <c r="Z48" i="16"/>
  <c r="AB45" i="16"/>
  <c r="Y53" i="16" l="1"/>
  <c r="W53" i="16"/>
  <c r="X53" i="16"/>
  <c r="AB56" i="16"/>
  <c r="AB31" i="16"/>
  <c r="AA5" i="16"/>
  <c r="Y59" i="16"/>
  <c r="W59" i="16"/>
  <c r="X59" i="16"/>
  <c r="Z59" i="16"/>
  <c r="W64" i="16"/>
  <c r="Y64" i="16"/>
  <c r="Z64" i="16"/>
  <c r="X64" i="16"/>
  <c r="Z58" i="16"/>
  <c r="X58" i="16"/>
  <c r="Y58" i="16"/>
  <c r="W58" i="16"/>
  <c r="X61" i="16"/>
  <c r="W61" i="16"/>
  <c r="Y61" i="16"/>
  <c r="Z61" i="16"/>
  <c r="W55" i="16"/>
  <c r="Z55" i="16"/>
  <c r="X55" i="16"/>
  <c r="Y55" i="16"/>
  <c r="W54" i="16"/>
  <c r="Z54" i="16"/>
  <c r="Y54" i="16"/>
  <c r="X54" i="16"/>
  <c r="X65" i="16"/>
  <c r="Y65" i="16"/>
  <c r="Z65" i="16"/>
  <c r="W65" i="16"/>
  <c r="W62" i="16"/>
  <c r="Y62" i="16"/>
  <c r="X62" i="16"/>
  <c r="Z62" i="16"/>
  <c r="X51" i="16"/>
  <c r="Y51" i="16"/>
  <c r="Y5" i="16" s="1"/>
  <c r="Z51" i="16"/>
  <c r="W51" i="16"/>
  <c r="X52" i="16"/>
  <c r="W52" i="16"/>
  <c r="Y52" i="16"/>
  <c r="Z52" i="16"/>
  <c r="AB40" i="16"/>
  <c r="AB32" i="16"/>
  <c r="AB49" i="16"/>
  <c r="AB39" i="16"/>
  <c r="AB33" i="16"/>
  <c r="AB60" i="16"/>
  <c r="AB47" i="16"/>
  <c r="AB41" i="16"/>
  <c r="AB48" i="16"/>
  <c r="AB53" i="16"/>
  <c r="AB50" i="16"/>
  <c r="W5" i="16" l="1"/>
  <c r="X5" i="16"/>
  <c r="AB51" i="16"/>
  <c r="AB65" i="16"/>
  <c r="AB58" i="16"/>
  <c r="Z5" i="16"/>
  <c r="AB62" i="16"/>
  <c r="AB54" i="16"/>
  <c r="AB5" i="16" s="1"/>
  <c r="J8" i="16" s="1"/>
  <c r="J14" i="16" s="1"/>
  <c r="J15" i="16" s="1"/>
  <c r="J16" i="16" s="1"/>
  <c r="AB64" i="16"/>
  <c r="AB59" i="16"/>
  <c r="AB52" i="16"/>
  <c r="AB61" i="16"/>
  <c r="AB55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Granholm Camilla, PLet</author>
    <author>Selling Emma, PLee</author>
  </authors>
  <commentList>
    <comment ref="V4" authorId="0" shapeId="0" xr:uid="{00000000-0006-0000-0000-000001000000}">
      <text>
        <r>
          <rPr>
            <sz val="9"/>
            <color indexed="81"/>
            <rFont val="Tahoma"/>
            <family val="2"/>
          </rPr>
          <t>Total nytta multiplicerat med trafiktillväxt, odiskonterad.
Om trafiktillväxt inte används i kalkylen blir denna lika med total nytta, odiskonterad.</t>
        </r>
      </text>
    </comment>
    <comment ref="O6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Lika med år 1 i kalkylperioden
</t>
        </r>
      </text>
    </comment>
    <comment ref="D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För att beräkna nyttor utan real nyttouppräkning sätts denna till 1,0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Om beräkning ska göras utan trafiktillväxt sätts trafiktillväxt till 1,0
</t>
        </r>
      </text>
    </comment>
    <comment ref="C18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Trafiktillväxt beräknas endast till prognosår 2</t>
        </r>
      </text>
    </comment>
    <comment ref="D18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Om beräkning ska göras utan trafiktillväxt sätts trafiktillväxt till 1,0</t>
        </r>
      </text>
    </comment>
    <comment ref="O65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2079=år 60 i kalkylperioden.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<sst xmlns="http://schemas.openxmlformats.org/spreadsheetml/2006/main" count="69" uniqueCount="69">
  <si>
    <t>Diskonteringsår</t>
  </si>
  <si>
    <t>Kalkylförutsättningar</t>
  </si>
  <si>
    <t>Diskonterings- faktor</t>
  </si>
  <si>
    <t>Total nytta odiskon</t>
  </si>
  <si>
    <t>Total nytta diskont</t>
  </si>
  <si>
    <t>RESULTAT</t>
  </si>
  <si>
    <t>Diskonteringsränta</t>
  </si>
  <si>
    <t>Totalnytta</t>
  </si>
  <si>
    <t>Antal personer som får nytta 2</t>
  </si>
  <si>
    <t>Antal personer som får nytta 1</t>
  </si>
  <si>
    <t>Antal personer som får nytta 3</t>
  </si>
  <si>
    <t>Antal personer som får nytta 4</t>
  </si>
  <si>
    <t>Real uppräkning av nyttor</t>
  </si>
  <si>
    <t>Antal personer som får nytta 5</t>
  </si>
  <si>
    <r>
      <t xml:space="preserve">Nytta 1 </t>
    </r>
    <r>
      <rPr>
        <i/>
        <sz val="10"/>
        <rFont val="Arial"/>
        <family val="2"/>
      </rPr>
      <t>(inkl real uppräkning)</t>
    </r>
  </si>
  <si>
    <r>
      <t>Nytta 2</t>
    </r>
    <r>
      <rPr>
        <i/>
        <sz val="10"/>
        <rFont val="Arial"/>
        <family val="2"/>
      </rPr>
      <t xml:space="preserve"> (inkl real uppräkning)</t>
    </r>
  </si>
  <si>
    <r>
      <t xml:space="preserve">Nytta 3 </t>
    </r>
    <r>
      <rPr>
        <i/>
        <sz val="10"/>
        <rFont val="Arial"/>
        <family val="2"/>
      </rPr>
      <t>(inkl real uppräkning)</t>
    </r>
  </si>
  <si>
    <r>
      <t xml:space="preserve">Nytta 4 </t>
    </r>
    <r>
      <rPr>
        <i/>
        <sz val="10"/>
        <rFont val="Arial"/>
        <family val="2"/>
      </rPr>
      <t>(inkl real uppräkning)</t>
    </r>
  </si>
  <si>
    <t>DoU-kostnad, årlig</t>
  </si>
  <si>
    <t>Investeringskostnader</t>
  </si>
  <si>
    <t>Nettonuvärde</t>
  </si>
  <si>
    <r>
      <t xml:space="preserve">Nytta 5 </t>
    </r>
    <r>
      <rPr>
        <i/>
        <sz val="10"/>
        <rFont val="Arial"/>
        <family val="2"/>
      </rPr>
      <t>(</t>
    </r>
    <r>
      <rPr>
        <i/>
        <u/>
        <sz val="10"/>
        <rFont val="Arial"/>
        <family val="2"/>
      </rPr>
      <t>exkl</t>
    </r>
    <r>
      <rPr>
        <i/>
        <sz val="10"/>
        <rFont val="Arial"/>
        <family val="2"/>
      </rPr>
      <t xml:space="preserve"> real uppräkning)</t>
    </r>
  </si>
  <si>
    <t>INDATA</t>
  </si>
  <si>
    <t>Basår för priser (Prisnivå)</t>
  </si>
  <si>
    <t>Trafiköppningsår (Trafikstartår)</t>
  </si>
  <si>
    <t>BERÄKNINGAR</t>
  </si>
  <si>
    <t>Total nytta odiskonterat</t>
  </si>
  <si>
    <t>DoU-kostnad</t>
  </si>
  <si>
    <t>DIAGRAM</t>
  </si>
  <si>
    <t>trafik-tillväxt*diskfaktor</t>
  </si>
  <si>
    <t>Nytta 1, diskonterat</t>
  </si>
  <si>
    <t>Nytta 2, diskonterat</t>
  </si>
  <si>
    <t>Nytta 4, diskonterat</t>
  </si>
  <si>
    <t>Nytta 3, diskonterat</t>
  </si>
  <si>
    <t>Nytta 5,  diskonterat</t>
  </si>
  <si>
    <t>Total disk. nytta</t>
  </si>
  <si>
    <t>Invkostnad, kapit. exkl skf</t>
  </si>
  <si>
    <t>DoU-kost. diskon. exkl skf</t>
  </si>
  <si>
    <t>DOU- kost. exkl skf</t>
  </si>
  <si>
    <t>trafiktill*diskfaktor*real uppr</t>
  </si>
  <si>
    <t>Trafik-tillväxtfaktor</t>
  </si>
  <si>
    <t>Real uppräkningsfaktor</t>
  </si>
  <si>
    <t>Kalkylperiod (antal år)</t>
  </si>
  <si>
    <t>NNK</t>
  </si>
  <si>
    <t>Tot</t>
  </si>
  <si>
    <t>Årlig trafiktillväxt innan prognosår 1</t>
  </si>
  <si>
    <t>Årlig trafiktillväxt efter prognosår 1</t>
  </si>
  <si>
    <t>Prognosår 1</t>
  </si>
  <si>
    <t>Prognosår 2</t>
  </si>
  <si>
    <t>Nyttor första året</t>
  </si>
  <si>
    <t>NUK</t>
  </si>
  <si>
    <t>Drift- och underhållskostnad inkl skattefinansieringskostnad</t>
  </si>
  <si>
    <t>Drift- och underhållskostnad exkl skattefinansieringskostnad</t>
  </si>
  <si>
    <t>Skattefinansieringsfaktor</t>
  </si>
  <si>
    <t>Investering  exkl. skattefinansieringskostnad</t>
  </si>
  <si>
    <t>Investering  inkl. skattefinansieringskostnad</t>
  </si>
  <si>
    <t>Diskonteringsverktyg</t>
  </si>
  <si>
    <t>Kalkyl Diskonteringsverktyg</t>
  </si>
  <si>
    <t>är det årlig uppräkning hela kalkylperioden?</t>
  </si>
  <si>
    <t>saknas uppräkninegn</t>
  </si>
  <si>
    <t xml:space="preserve"> När du anger investeringskostnaden behöver du göra detta i prisnivå 2019-årsmedel </t>
  </si>
  <si>
    <t xml:space="preserve"> (men realt uttryckt i 2028 års kostnad). Här kan man använda lathunden ”Indexomräkning </t>
  </si>
  <si>
    <t xml:space="preserve"> kapitalisering omräkning investeringskostnader” och dess kolumn E, flik ”Nuvärde investerings-</t>
  </si>
  <si>
    <t xml:space="preserve"> kostnader”. Kostnaderna som läggs in här kan man alltså först bearbeta i den lathunden för att </t>
  </si>
  <si>
    <t xml:space="preserve"> sedan lägga in här per år. </t>
  </si>
  <si>
    <t xml:space="preserve"> Beräkningarna av nyttorna (kolumn V – AB) måste anpassas till när de börjar falla ut. Om man </t>
  </si>
  <si>
    <t xml:space="preserve"> t.ex. har två års byggtid (investeringskostnader 2028 och 2029) så börjar nyttorna falla ut året</t>
  </si>
  <si>
    <t xml:space="preserve"> efter. Då måste man manuellt ta bort nyttorna för de två byggåren, dvs. i detta fall i cellerna</t>
  </si>
  <si>
    <t xml:space="preserve"> V6, V7 – AB 6, AB 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</si>
</sst>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\ _k_r_-;\-* #,##0\ _k_r_-;_-* &quot;-&quot;\ _k_r_-;_-@_-"/>
    <numFmt numFmtId="165" formatCode="#,##0;[Red]&quot;-&quot;#,##0"/>
    <numFmt numFmtId="166" formatCode="#,##0\ &quot;$&quot;;[Red]\-#,##0\ &quot;$&quot;"/>
    <numFmt numFmtId="167" formatCode="0.000"/>
    <numFmt numFmtId="168" formatCode="#,##0.000"/>
    <numFmt numFmtId="169" formatCode="#,##0\ _k_r"/>
    <numFmt numFmtId="170" formatCode="#,##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sz val="12"/>
      <name val="Helv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0"/>
      <color theme="6" tint="0.79998168889431442"/>
      <name val="Arial"/>
      <family val="2"/>
    </font>
    <font>
      <sz val="10"/>
      <color theme="2" tint="-9.9978637043366805E-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5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10">
      <alignment horizontal="left"/>
    </xf>
    <xf numFmtId="166" fontId="10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3" fontId="5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2" fillId="0" borderId="0" xfId="0" applyFont="1" applyBorder="1"/>
    <xf numFmtId="167" fontId="3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0" fillId="6" borderId="3" xfId="0" applyFill="1" applyBorder="1"/>
    <xf numFmtId="0" fontId="6" fillId="6" borderId="4" xfId="0" applyFont="1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2" xfId="0" applyFill="1" applyBorder="1"/>
    <xf numFmtId="0" fontId="5" fillId="6" borderId="0" xfId="0" applyFont="1" applyFill="1" applyBorder="1"/>
    <xf numFmtId="0" fontId="2" fillId="6" borderId="0" xfId="0" applyFont="1" applyFill="1" applyBorder="1"/>
    <xf numFmtId="0" fontId="2" fillId="6" borderId="1" xfId="0" applyFont="1" applyFill="1" applyBorder="1"/>
    <xf numFmtId="0" fontId="0" fillId="6" borderId="7" xfId="0" applyFill="1" applyBorder="1"/>
    <xf numFmtId="0" fontId="0" fillId="6" borderId="1" xfId="0" applyFill="1" applyBorder="1"/>
    <xf numFmtId="0" fontId="0" fillId="6" borderId="6" xfId="0" applyFill="1" applyBorder="1"/>
    <xf numFmtId="0" fontId="0" fillId="6" borderId="0" xfId="0" applyFill="1" applyBorder="1"/>
    <xf numFmtId="0" fontId="16" fillId="6" borderId="0" xfId="0" applyFont="1" applyFill="1" applyBorder="1" applyAlignment="1">
      <alignment horizontal="center"/>
    </xf>
    <xf numFmtId="3" fontId="2" fillId="0" borderId="11" xfId="0" applyNumberFormat="1" applyFont="1" applyFill="1" applyBorder="1" applyProtection="1">
      <protection locked="0"/>
    </xf>
    <xf numFmtId="168" fontId="4" fillId="3" borderId="0" xfId="0" applyNumberFormat="1" applyFont="1" applyFill="1" applyBorder="1" applyAlignment="1">
      <alignment horizontal="right"/>
    </xf>
    <xf numFmtId="1" fontId="8" fillId="2" borderId="0" xfId="0" applyNumberFormat="1" applyFont="1" applyFill="1" applyBorder="1" applyAlignment="1">
      <alignment horizontal="right"/>
    </xf>
    <xf numFmtId="168" fontId="8" fillId="3" borderId="0" xfId="0" applyNumberFormat="1" applyFont="1" applyFill="1" applyBorder="1" applyAlignment="1">
      <alignment horizontal="right"/>
    </xf>
    <xf numFmtId="4" fontId="4" fillId="3" borderId="0" xfId="0" applyNumberFormat="1" applyFont="1" applyFill="1" applyBorder="1" applyAlignment="1">
      <alignment horizontal="right"/>
    </xf>
    <xf numFmtId="0" fontId="2" fillId="0" borderId="0" xfId="0" applyFont="1"/>
    <xf numFmtId="14" fontId="9" fillId="0" borderId="0" xfId="2" applyNumberFormat="1" applyFont="1" applyFill="1"/>
    <xf numFmtId="0" fontId="2" fillId="0" borderId="0" xfId="2" applyFont="1" applyFill="1" applyAlignment="1">
      <alignment horizontal="right"/>
    </xf>
    <xf numFmtId="0" fontId="17" fillId="0" borderId="0" xfId="0" applyFont="1" applyAlignment="1">
      <alignment vertical="center"/>
    </xf>
    <xf numFmtId="0" fontId="2" fillId="0" borderId="15" xfId="0" applyFont="1" applyFill="1" applyBorder="1" applyProtection="1">
      <protection locked="0"/>
    </xf>
    <xf numFmtId="0" fontId="2" fillId="0" borderId="16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5" borderId="12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5" fillId="5" borderId="13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>
      <alignment vertical="top" wrapText="1"/>
    </xf>
    <xf numFmtId="0" fontId="8" fillId="2" borderId="17" xfId="0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2" borderId="22" xfId="0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168" fontId="4" fillId="3" borderId="1" xfId="0" applyNumberFormat="1" applyFont="1" applyFill="1" applyBorder="1" applyAlignment="1">
      <alignment horizontal="right"/>
    </xf>
    <xf numFmtId="0" fontId="8" fillId="2" borderId="26" xfId="0" applyFont="1" applyFill="1" applyBorder="1" applyAlignment="1">
      <alignment horizontal="right"/>
    </xf>
    <xf numFmtId="0" fontId="8" fillId="2" borderId="27" xfId="0" applyFont="1" applyFill="1" applyBorder="1" applyAlignment="1">
      <alignment horizontal="right"/>
    </xf>
    <xf numFmtId="1" fontId="8" fillId="2" borderId="27" xfId="0" applyNumberFormat="1" applyFont="1" applyFill="1" applyBorder="1" applyAlignment="1">
      <alignment horizontal="right"/>
    </xf>
    <xf numFmtId="4" fontId="8" fillId="2" borderId="27" xfId="0" applyNumberFormat="1" applyFont="1" applyFill="1" applyBorder="1" applyAlignment="1">
      <alignment horizontal="right"/>
    </xf>
    <xf numFmtId="3" fontId="8" fillId="2" borderId="27" xfId="0" applyNumberFormat="1" applyFont="1" applyFill="1" applyBorder="1" applyAlignment="1">
      <alignment horizontal="right"/>
    </xf>
    <xf numFmtId="3" fontId="8" fillId="2" borderId="28" xfId="0" applyNumberFormat="1" applyFont="1" applyFill="1" applyBorder="1" applyAlignment="1">
      <alignment horizontal="right"/>
    </xf>
    <xf numFmtId="0" fontId="8" fillId="2" borderId="25" xfId="0" applyFont="1" applyFill="1" applyBorder="1" applyAlignment="1">
      <alignment horizontal="right" wrapText="1"/>
    </xf>
    <xf numFmtId="0" fontId="3" fillId="5" borderId="29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8" fillId="7" borderId="23" xfId="0" applyFont="1" applyFill="1" applyBorder="1" applyAlignment="1">
      <alignment horizontal="right"/>
    </xf>
    <xf numFmtId="0" fontId="8" fillId="7" borderId="24" xfId="0" applyFont="1" applyFill="1" applyBorder="1" applyAlignment="1">
      <alignment horizontal="right"/>
    </xf>
    <xf numFmtId="168" fontId="8" fillId="7" borderId="8" xfId="0" applyNumberFormat="1" applyFont="1" applyFill="1" applyBorder="1" applyAlignment="1">
      <alignment horizontal="right"/>
    </xf>
    <xf numFmtId="168" fontId="4" fillId="7" borderId="8" xfId="0" applyNumberFormat="1" applyFont="1" applyFill="1" applyBorder="1" applyAlignment="1">
      <alignment horizontal="right"/>
    </xf>
    <xf numFmtId="168" fontId="4" fillId="7" borderId="6" xfId="0" applyNumberFormat="1" applyFont="1" applyFill="1" applyBorder="1" applyAlignment="1">
      <alignment horizontal="right"/>
    </xf>
    <xf numFmtId="0" fontId="2" fillId="5" borderId="11" xfId="0" applyFont="1" applyFill="1" applyBorder="1"/>
    <xf numFmtId="0" fontId="8" fillId="2" borderId="23" xfId="0" applyFont="1" applyFill="1" applyBorder="1" applyAlignment="1">
      <alignment horizontal="right"/>
    </xf>
    <xf numFmtId="0" fontId="8" fillId="2" borderId="24" xfId="0" applyFont="1" applyFill="1" applyBorder="1" applyAlignment="1">
      <alignment horizontal="right"/>
    </xf>
    <xf numFmtId="168" fontId="8" fillId="3" borderId="8" xfId="0" applyNumberFormat="1" applyFont="1" applyFill="1" applyBorder="1" applyAlignment="1">
      <alignment horizontal="right"/>
    </xf>
    <xf numFmtId="168" fontId="4" fillId="3" borderId="8" xfId="0" applyNumberFormat="1" applyFont="1" applyFill="1" applyBorder="1" applyAlignment="1">
      <alignment horizontal="right"/>
    </xf>
    <xf numFmtId="168" fontId="4" fillId="3" borderId="6" xfId="0" applyNumberFormat="1" applyFont="1" applyFill="1" applyBorder="1" applyAlignment="1">
      <alignment horizontal="right"/>
    </xf>
    <xf numFmtId="0" fontId="2" fillId="5" borderId="30" xfId="0" applyFont="1" applyFill="1" applyBorder="1"/>
    <xf numFmtId="0" fontId="2" fillId="0" borderId="34" xfId="0" applyFont="1" applyFill="1" applyBorder="1" applyProtection="1">
      <protection locked="0"/>
    </xf>
    <xf numFmtId="0" fontId="2" fillId="0" borderId="34" xfId="0" applyFont="1" applyFill="1" applyBorder="1" applyAlignment="1" applyProtection="1">
      <alignment horizontal="right"/>
      <protection locked="0"/>
    </xf>
    <xf numFmtId="0" fontId="2" fillId="5" borderId="31" xfId="0" applyFont="1" applyFill="1" applyBorder="1"/>
    <xf numFmtId="0" fontId="0" fillId="8" borderId="3" xfId="0" applyFill="1" applyBorder="1"/>
    <xf numFmtId="0" fontId="6" fillId="8" borderId="4" xfId="0" applyFont="1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2" xfId="0" applyFill="1" applyBorder="1"/>
    <xf numFmtId="0" fontId="0" fillId="8" borderId="0" xfId="0" applyFill="1" applyBorder="1"/>
    <xf numFmtId="0" fontId="0" fillId="8" borderId="1" xfId="0" applyFill="1" applyBorder="1"/>
    <xf numFmtId="0" fontId="5" fillId="8" borderId="9" xfId="0" applyFont="1" applyFill="1" applyBorder="1"/>
    <xf numFmtId="3" fontId="5" fillId="8" borderId="9" xfId="0" applyNumberFormat="1" applyFont="1" applyFill="1" applyBorder="1"/>
    <xf numFmtId="0" fontId="5" fillId="8" borderId="9" xfId="0" applyFont="1" applyFill="1" applyBorder="1" applyAlignment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0" fontId="5" fillId="8" borderId="9" xfId="0" applyFont="1" applyFill="1" applyBorder="1" applyAlignment="1"/>
    <xf numFmtId="0" fontId="0" fillId="8" borderId="9" xfId="0" applyFill="1" applyBorder="1" applyAlignment="1"/>
    <xf numFmtId="2" fontId="5" fillId="8" borderId="9" xfId="0" applyNumberFormat="1" applyFont="1" applyFill="1" applyBorder="1"/>
    <xf numFmtId="0" fontId="0" fillId="8" borderId="7" xfId="0" applyFill="1" applyBorder="1"/>
    <xf numFmtId="0" fontId="5" fillId="8" borderId="8" xfId="0" applyFont="1" applyFill="1" applyBorder="1" applyAlignment="1"/>
    <xf numFmtId="2" fontId="5" fillId="8" borderId="8" xfId="0" applyNumberFormat="1" applyFont="1" applyFill="1" applyBorder="1"/>
    <xf numFmtId="0" fontId="5" fillId="8" borderId="8" xfId="0" applyFont="1" applyFill="1" applyBorder="1"/>
    <xf numFmtId="0" fontId="0" fillId="8" borderId="6" xfId="0" applyFill="1" applyBorder="1"/>
    <xf numFmtId="0" fontId="5" fillId="8" borderId="9" xfId="0" applyFont="1" applyFill="1" applyBorder="1" applyAlignment="1">
      <alignment wrapText="1"/>
    </xf>
    <xf numFmtId="0" fontId="0" fillId="0" borderId="0" xfId="0" applyBorder="1" applyAlignment="1">
      <alignment wrapText="1"/>
    </xf>
    <xf numFmtId="3" fontId="5" fillId="8" borderId="0" xfId="0" applyNumberFormat="1" applyFont="1" applyFill="1" applyBorder="1"/>
    <xf numFmtId="0" fontId="14" fillId="5" borderId="36" xfId="0" applyFont="1" applyFill="1" applyBorder="1" applyAlignment="1">
      <alignment horizontal="center"/>
    </xf>
    <xf numFmtId="0" fontId="0" fillId="4" borderId="0" xfId="0" applyFill="1" applyBorder="1"/>
    <xf numFmtId="0" fontId="5" fillId="4" borderId="0" xfId="0" applyFont="1" applyFill="1" applyBorder="1" applyAlignment="1">
      <alignment vertical="top" wrapText="1"/>
    </xf>
    <xf numFmtId="0" fontId="0" fillId="6" borderId="8" xfId="0" applyFill="1" applyBorder="1"/>
    <xf numFmtId="169" fontId="2" fillId="0" borderId="5" xfId="0" applyNumberFormat="1" applyFont="1" applyFill="1" applyBorder="1" applyProtection="1">
      <protection locked="0"/>
    </xf>
    <xf numFmtId="169" fontId="2" fillId="0" borderId="16" xfId="0" applyNumberFormat="1" applyFont="1" applyFill="1" applyBorder="1" applyProtection="1">
      <protection locked="0"/>
    </xf>
    <xf numFmtId="0" fontId="2" fillId="5" borderId="32" xfId="0" applyFont="1" applyFill="1" applyBorder="1"/>
    <xf numFmtId="0" fontId="2" fillId="3" borderId="33" xfId="0" applyFont="1" applyFill="1" applyBorder="1" applyProtection="1">
      <protection locked="0"/>
    </xf>
    <xf numFmtId="0" fontId="2" fillId="3" borderId="34" xfId="0" applyFont="1" applyFill="1" applyBorder="1" applyProtection="1">
      <protection locked="0"/>
    </xf>
    <xf numFmtId="0" fontId="7" fillId="4" borderId="0" xfId="0" applyFont="1" applyFill="1" applyBorder="1"/>
    <xf numFmtId="3" fontId="14" fillId="4" borderId="37" xfId="0" applyNumberFormat="1" applyFont="1" applyFill="1" applyBorder="1" applyProtection="1">
      <protection locked="0"/>
    </xf>
    <xf numFmtId="3" fontId="14" fillId="4" borderId="38" xfId="0" applyNumberFormat="1" applyFont="1" applyFill="1" applyBorder="1" applyProtection="1">
      <protection locked="0"/>
    </xf>
    <xf numFmtId="170" fontId="8" fillId="2" borderId="27" xfId="0" applyNumberFormat="1" applyFont="1" applyFill="1" applyBorder="1" applyAlignment="1">
      <alignment horizontal="right"/>
    </xf>
    <xf numFmtId="0" fontId="8" fillId="9" borderId="19" xfId="0" applyFont="1" applyFill="1" applyBorder="1" applyAlignment="1">
      <alignment horizontal="center"/>
    </xf>
    <xf numFmtId="0" fontId="8" fillId="9" borderId="20" xfId="0" applyFont="1" applyFill="1" applyBorder="1" applyAlignment="1">
      <alignment horizontal="center" wrapText="1"/>
    </xf>
    <xf numFmtId="0" fontId="8" fillId="9" borderId="20" xfId="0" applyFont="1" applyFill="1" applyBorder="1" applyAlignment="1" applyProtection="1">
      <alignment wrapText="1"/>
    </xf>
    <xf numFmtId="0" fontId="8" fillId="10" borderId="20" xfId="0" applyFont="1" applyFill="1" applyBorder="1" applyAlignment="1">
      <alignment horizontal="center" wrapText="1"/>
    </xf>
    <xf numFmtId="0" fontId="8" fillId="11" borderId="20" xfId="0" applyFont="1" applyFill="1" applyBorder="1" applyAlignment="1">
      <alignment horizontal="center" wrapText="1"/>
    </xf>
    <xf numFmtId="0" fontId="8" fillId="11" borderId="21" xfId="0" applyFont="1" applyFill="1" applyBorder="1" applyAlignment="1">
      <alignment horizontal="center" wrapText="1"/>
    </xf>
    <xf numFmtId="0" fontId="2" fillId="0" borderId="39" xfId="0" applyFont="1" applyBorder="1"/>
    <xf numFmtId="0" fontId="0" fillId="0" borderId="40" xfId="0" applyBorder="1"/>
    <xf numFmtId="3" fontId="5" fillId="0" borderId="40" xfId="0" applyNumberFormat="1" applyFont="1" applyBorder="1"/>
    <xf numFmtId="0" fontId="0" fillId="0" borderId="41" xfId="0" applyBorder="1"/>
    <xf numFmtId="0" fontId="2" fillId="0" borderId="17" xfId="0" applyFont="1" applyBorder="1"/>
    <xf numFmtId="0" fontId="0" fillId="0" borderId="42" xfId="0" applyBorder="1"/>
    <xf numFmtId="0" fontId="5" fillId="0" borderId="0" xfId="0" applyFont="1" applyAlignment="1">
      <alignment horizontal="center"/>
    </xf>
    <xf numFmtId="2" fontId="5" fillId="0" borderId="0" xfId="0" applyNumberFormat="1" applyFont="1"/>
    <xf numFmtId="0" fontId="2" fillId="0" borderId="43" xfId="0" applyFont="1" applyBorder="1"/>
    <xf numFmtId="0" fontId="0" fillId="0" borderId="44" xfId="0" applyBorder="1"/>
    <xf numFmtId="0" fontId="0" fillId="0" borderId="45" xfId="0" applyBorder="1"/>
    <xf numFmtId="0" fontId="18" fillId="5" borderId="30" xfId="0" applyFont="1" applyFill="1" applyBorder="1"/>
    <xf numFmtId="0" fontId="19" fillId="3" borderId="34" xfId="0" applyFont="1" applyFill="1" applyBorder="1" applyProtection="1">
      <protection locked="0"/>
    </xf>
    <xf numFmtId="1" fontId="2" fillId="3" borderId="35" xfId="0" applyNumberFormat="1" applyFont="1" applyFill="1" applyBorder="1" applyAlignment="1">
      <alignment vertical="top" wrapText="1"/>
    </xf>
  </cellXfs>
  <cellStyles count="7">
    <cellStyle name="Komma (0)" xfId="3" xr:uid="{00000000-0005-0000-0000-000000000000}"/>
    <cellStyle name="Normal" xfId="0" builtinId="0"/>
    <cellStyle name="Normal 2" xfId="2" xr:uid="{00000000-0005-0000-0000-000002000000}"/>
    <cellStyle name="Procent 2" xfId="4" xr:uid="{00000000-0005-0000-0000-000003000000}"/>
    <cellStyle name="STIL1 - Odefin" xfId="5" xr:uid="{00000000-0005-0000-0000-000004000000}"/>
    <cellStyle name="Tusental (0)_2015P_utrapp" xfId="1" xr:uid="{00000000-0005-0000-0000-000005000000}"/>
    <cellStyle name="Valuta (0)" xfId="6" xr:uid="{00000000-0005-0000-0000-000006000000}"/>
  </cellStyles>
  <dxfs count="0"/>
  <tableStyles count="0" defaultTableStyle="TableStyleMedium9" defaultPivotStyle="PivotStyleLight16"/>
  <colors>
    <mruColors>
      <color rgb="FFFFFF99"/>
      <color rgb="FFFFFF8F"/>
      <color rgb="FFDDFFFF"/>
      <color rgb="FF00FFFF"/>
      <color rgb="FFFFCC00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Årlig nytta (totalnytta), DISKONTERAD</a:t>
            </a:r>
          </a:p>
        </c:rich>
      </c:tx>
      <c:layout>
        <c:manualLayout>
          <c:xMode val="edge"/>
          <c:yMode val="edge"/>
          <c:x val="0.24523903637003"/>
          <c:y val="3.21588503235473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8397949035215667E-2"/>
          <c:y val="0.11991434689507495"/>
          <c:w val="0.88397949035215662"/>
          <c:h val="0.72116076000165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Diskonteringsverktyg!$AB$4</c:f>
              <c:strCache>
                <c:ptCount val="1"/>
                <c:pt idx="0">
                  <c:v>Total disk. nytta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Diskonteringsverktyg!$O$6:$O$65</c:f>
              <c:numCache>
                <c:formatCode>General</c:formatCod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cat>
          <c:val>
            <c:numRef>
              <c:f>Diskonteringsverktyg!$AB$6:$AB$65</c:f>
              <c:numCache>
                <c:formatCode>#,##0.00</c:formatCode>
                <c:ptCount val="60"/>
                <c:pt idx="0">
                  <c:v>6650.3458967174029</c:v>
                </c:pt>
                <c:pt idx="1">
                  <c:v>6564.3411819081657</c:v>
                </c:pt>
                <c:pt idx="2">
                  <c:v>6479.4487116474493</c:v>
                </c:pt>
                <c:pt idx="3">
                  <c:v>6395.6541019803972</c:v>
                </c:pt>
                <c:pt idx="4">
                  <c:v>6312.9431549707288</c:v>
                </c:pt>
                <c:pt idx="5">
                  <c:v>6231.3018562950938</c:v>
                </c:pt>
                <c:pt idx="6">
                  <c:v>6150.7163728685173</c:v>
                </c:pt>
                <c:pt idx="7">
                  <c:v>6071.1730505005489</c:v>
                </c:pt>
                <c:pt idx="8">
                  <c:v>5992.6584115817604</c:v>
                </c:pt>
                <c:pt idx="9">
                  <c:v>5915.159152800099</c:v>
                </c:pt>
                <c:pt idx="10">
                  <c:v>5838.6621428868348</c:v>
                </c:pt>
                <c:pt idx="11">
                  <c:v>5763.1544203916274</c:v>
                </c:pt>
                <c:pt idx="12">
                  <c:v>5688.6231914863683</c:v>
                </c:pt>
                <c:pt idx="13">
                  <c:v>5615.0558277974378</c:v>
                </c:pt>
                <c:pt idx="14">
                  <c:v>5542.4398642659708</c:v>
                </c:pt>
                <c:pt idx="15">
                  <c:v>5470.7629970358275</c:v>
                </c:pt>
                <c:pt idx="16">
                  <c:v>5400.0130813688493</c:v>
                </c:pt>
                <c:pt idx="17">
                  <c:v>5330.1781295870906</c:v>
                </c:pt>
                <c:pt idx="18">
                  <c:v>5261.246309041655</c:v>
                </c:pt>
                <c:pt idx="19">
                  <c:v>5193.2059401078195</c:v>
                </c:pt>
                <c:pt idx="20">
                  <c:v>5126.0454942060378</c:v>
                </c:pt>
                <c:pt idx="21">
                  <c:v>5059.7535918486028</c:v>
                </c:pt>
                <c:pt idx="22">
                  <c:v>4994.3190007115063</c:v>
                </c:pt>
                <c:pt idx="23">
                  <c:v>4929.730633731293</c:v>
                </c:pt>
                <c:pt idx="24">
                  <c:v>4865.977547226471</c:v>
                </c:pt>
                <c:pt idx="25">
                  <c:v>4803.0489390432576</c:v>
                </c:pt>
                <c:pt idx="26">
                  <c:v>4740.9341467252925</c:v>
                </c:pt>
                <c:pt idx="27">
                  <c:v>4679.6226457070134</c:v>
                </c:pt>
                <c:pt idx="28">
                  <c:v>4619.104047530408</c:v>
                </c:pt>
                <c:pt idx="29">
                  <c:v>4559.3680980848112</c:v>
                </c:pt>
                <c:pt idx="30">
                  <c:v>4500.4046758694813</c:v>
                </c:pt>
                <c:pt idx="31">
                  <c:v>4442.2037902786496</c:v>
                </c:pt>
                <c:pt idx="32">
                  <c:v>4384.7555799087204</c:v>
                </c:pt>
                <c:pt idx="33">
                  <c:v>4328.0503108873882</c:v>
                </c:pt>
                <c:pt idx="34">
                  <c:v>4272.078375224366</c:v>
                </c:pt>
                <c:pt idx="35">
                  <c:v>4216.8302891834228</c:v>
                </c:pt>
                <c:pt idx="36">
                  <c:v>4162.2966916754804</c:v>
                </c:pt>
                <c:pt idx="37">
                  <c:v>4108.4683426725096</c:v>
                </c:pt>
                <c:pt idx="38">
                  <c:v>4009.2299769074721</c:v>
                </c:pt>
                <c:pt idx="39">
                  <c:v>3912.3886731174389</c:v>
                </c:pt>
                <c:pt idx="40">
                  <c:v>3817.8865312546995</c:v>
                </c:pt>
                <c:pt idx="41" formatCode="#\ ##0.000">
                  <c:v>3725.6670498234266</c:v>
                </c:pt>
                <c:pt idx="42" formatCode="#\ ##0.000">
                  <c:v>3635.6750920982222</c:v>
                </c:pt>
                <c:pt idx="43" formatCode="#\ ##0.000">
                  <c:v>3547.8568531586511</c:v>
                </c:pt>
                <c:pt idx="44" formatCode="#\ ##0.000">
                  <c:v>3462.1598277200378</c:v>
                </c:pt>
                <c:pt idx="45" formatCode="#\ ##0.000">
                  <c:v>3378.5327787412939</c:v>
                </c:pt>
                <c:pt idx="46" formatCode="#\ ##0.000">
                  <c:v>3296.9257067910198</c:v>
                </c:pt>
                <c:pt idx="47" formatCode="#\ ##0.000">
                  <c:v>3217.2898201535568</c:v>
                </c:pt>
                <c:pt idx="48" formatCode="#\ ##0.000">
                  <c:v>3139.5775056570942</c:v>
                </c:pt>
                <c:pt idx="49" formatCode="#\ ##0.000">
                  <c:v>3063.7423002064411</c:v>
                </c:pt>
                <c:pt idx="50" formatCode="#\ ##0.000">
                  <c:v>2989.7388630033856</c:v>
                </c:pt>
                <c:pt idx="51" formatCode="#\ ##0.000">
                  <c:v>2917.522948438087</c:v>
                </c:pt>
                <c:pt idx="52" formatCode="#\ ##0.000">
                  <c:v>2847.0513796352352</c:v>
                </c:pt>
                <c:pt idx="53" formatCode="#\ ##0.000">
                  <c:v>2778.2820226392155</c:v>
                </c:pt>
                <c:pt idx="54" formatCode="#\ ##0.000">
                  <c:v>2711.1737612228094</c:v>
                </c:pt>
                <c:pt idx="55" formatCode="#\ ##0.000">
                  <c:v>2645.6864723043846</c:v>
                </c:pt>
                <c:pt idx="56" formatCode="#\ ##0.000">
                  <c:v>2581.7810019588687</c:v>
                </c:pt>
                <c:pt idx="57" formatCode="#\ ##0.000">
                  <c:v>2519.419142008172</c:v>
                </c:pt>
                <c:pt idx="58" formatCode="#\ ##0.000">
                  <c:v>2458.5636071770559</c:v>
                </c:pt>
                <c:pt idx="59" formatCode="#\ ##0.000">
                  <c:v>2399.1780128007986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3-4AD3-8F1D-84AD37A58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215992296"/>
        <c:axId val="215985632"/>
      </c:barChart>
      <c:catAx>
        <c:axId val="21599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59856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59856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599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420826030502785"/>
          <c:y val="0.93094686104459479"/>
          <c:w val="0.13249718258348406"/>
          <c:h val="3.7913784767438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 alignWithMargins="0"/>
    <c:pageMargins b="1" l="0.75000000000000222" r="0.75000000000000222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sv-SE" sz="18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sv-SE" sz="18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ÅRLIG NYTTA (TOTALNYTTA), ODISKONTERAD</a:t>
            </a:r>
          </a:p>
        </c:rich>
      </c:tx>
      <c:layout>
        <c:manualLayout>
          <c:xMode val="edge"/>
          <c:yMode val="edge"/>
          <c:x val="0.1802055431007647"/>
          <c:y val="3.2801898214735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sv-SE" sz="1800" b="1" i="0" u="none" strike="noStrike" kern="1200" cap="all" spc="15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8768272985085023E-2"/>
          <c:y val="0.20430179037085003"/>
          <c:w val="0.88587113244298565"/>
          <c:h val="0.6641928438273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Diskonteringsverktyg!$V$4</c:f>
              <c:strCache>
                <c:ptCount val="1"/>
                <c:pt idx="0">
                  <c:v>Total nytta odiskonterat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Diskonteringsverktyg!$O$6:$O$65</c:f>
              <c:numCache>
                <c:formatCode>General</c:formatCod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cat>
          <c:val>
            <c:numRef>
              <c:f>Diskonteringsverktyg!$V$6:$V$65</c:f>
              <c:numCache>
                <c:formatCode>#,##0.00</c:formatCode>
                <c:ptCount val="60"/>
                <c:pt idx="0">
                  <c:v>6650.3458967174038</c:v>
                </c:pt>
                <c:pt idx="1">
                  <c:v>6794.0931232749508</c:v>
                </c:pt>
                <c:pt idx="2">
                  <c:v>6940.9474461345399</c:v>
                </c:pt>
                <c:pt idx="3">
                  <c:v>7090.9760251827374</c:v>
                </c:pt>
                <c:pt idx="4">
                  <c:v>7244.2474719670627</c:v>
                </c:pt>
                <c:pt idx="5">
                  <c:v>7400.83188107363</c:v>
                </c:pt>
                <c:pt idx="6">
                  <c:v>7560.8008621830413</c:v>
                </c:pt>
                <c:pt idx="7">
                  <c:v>7724.2275728191262</c:v>
                </c:pt>
                <c:pt idx="8">
                  <c:v>7891.1867518056142</c:v>
                </c:pt>
                <c:pt idx="9">
                  <c:v>8061.7547534458936</c:v>
                </c:pt>
                <c:pt idx="10">
                  <c:v>8236.0095824416276</c:v>
                </c:pt>
                <c:pt idx="11">
                  <c:v>8414.0309295661027</c:v>
                </c:pt>
                <c:pt idx="12">
                  <c:v>8595.9002081086746</c:v>
                </c:pt>
                <c:pt idx="13">
                  <c:v>8781.7005911069446</c:v>
                </c:pt>
                <c:pt idx="14">
                  <c:v>8971.5170493837231</c:v>
                </c:pt>
                <c:pt idx="15">
                  <c:v>9165.436390406152</c:v>
                </c:pt>
                <c:pt idx="16">
                  <c:v>9363.5472979847837</c:v>
                </c:pt>
                <c:pt idx="17">
                  <c:v>9565.9403728307279</c:v>
                </c:pt>
                <c:pt idx="18">
                  <c:v>9772.7081739894584</c:v>
                </c:pt>
                <c:pt idx="19">
                  <c:v>9983.9452611702418</c:v>
                </c:pt>
                <c:pt idx="20">
                  <c:v>10199.748237990436</c:v>
                </c:pt>
                <c:pt idx="21">
                  <c:v>10420.215796154604</c:v>
                </c:pt>
                <c:pt idx="22">
                  <c:v>10645.448760588484</c:v>
                </c:pt>
                <c:pt idx="23">
                  <c:v>10875.550135548609</c:v>
                </c:pt>
                <c:pt idx="24">
                  <c:v>11110.625151728493</c:v>
                </c:pt>
                <c:pt idx="25">
                  <c:v>11350.781314383106</c:v>
                </c:pt>
                <c:pt idx="26">
                  <c:v>11596.128452493496</c:v>
                </c:pt>
                <c:pt idx="27">
                  <c:v>11846.778768994143</c:v>
                </c:pt>
                <c:pt idx="28">
                  <c:v>12102.846892085954</c:v>
                </c:pt>
                <c:pt idx="29">
                  <c:v>12364.449927658392</c:v>
                </c:pt>
                <c:pt idx="30">
                  <c:v>12631.707512844729</c:v>
                </c:pt>
                <c:pt idx="31">
                  <c:v>12904.741870734872</c:v>
                </c:pt>
                <c:pt idx="32">
                  <c:v>13183.677866270807</c:v>
                </c:pt>
                <c:pt idx="33">
                  <c:v>13468.643063350251</c:v>
                </c:pt>
                <c:pt idx="34">
                  <c:v>13759.767783164565</c:v>
                </c:pt>
                <c:pt idx="35">
                  <c:v>14057.185163797672</c:v>
                </c:pt>
                <c:pt idx="36">
                  <c:v>14361.031221113159</c:v>
                </c:pt>
                <c:pt idx="37">
                  <c:v>14361.031221113159</c:v>
                </c:pt>
                <c:pt idx="38">
                  <c:v>14361.031221113159</c:v>
                </c:pt>
                <c:pt idx="39">
                  <c:v>14361.031221113159</c:v>
                </c:pt>
                <c:pt idx="40">
                  <c:v>14361.031221113159</c:v>
                </c:pt>
                <c:pt idx="41">
                  <c:v>14361.031221113159</c:v>
                </c:pt>
                <c:pt idx="42">
                  <c:v>14361.031221113159</c:v>
                </c:pt>
                <c:pt idx="43">
                  <c:v>14361.031221113159</c:v>
                </c:pt>
                <c:pt idx="44">
                  <c:v>14361.031221113159</c:v>
                </c:pt>
                <c:pt idx="45">
                  <c:v>14361.031221113159</c:v>
                </c:pt>
                <c:pt idx="46">
                  <c:v>14361.031221113159</c:v>
                </c:pt>
                <c:pt idx="47">
                  <c:v>14361.031221113159</c:v>
                </c:pt>
                <c:pt idx="48">
                  <c:v>14361.031221113159</c:v>
                </c:pt>
                <c:pt idx="49">
                  <c:v>14361.031221113159</c:v>
                </c:pt>
                <c:pt idx="50">
                  <c:v>14361.031221113159</c:v>
                </c:pt>
                <c:pt idx="51">
                  <c:v>14361.031221113159</c:v>
                </c:pt>
                <c:pt idx="52">
                  <c:v>14361.031221113159</c:v>
                </c:pt>
                <c:pt idx="53">
                  <c:v>14361.031221113159</c:v>
                </c:pt>
                <c:pt idx="54">
                  <c:v>14361.031221113159</c:v>
                </c:pt>
                <c:pt idx="55">
                  <c:v>14361.031221113159</c:v>
                </c:pt>
                <c:pt idx="56">
                  <c:v>14361.031221113159</c:v>
                </c:pt>
                <c:pt idx="57">
                  <c:v>14361.031221113159</c:v>
                </c:pt>
                <c:pt idx="58">
                  <c:v>14361.031221113159</c:v>
                </c:pt>
                <c:pt idx="59">
                  <c:v>14361.031221113159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8D-42FB-8BBC-10A0B2D73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5986808"/>
        <c:axId val="215987592"/>
      </c:barChart>
      <c:catAx>
        <c:axId val="21598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5987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598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5986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Investeringskostnad, Kapitaliserad</a:t>
            </a:r>
          </a:p>
        </c:rich>
      </c:tx>
      <c:layout>
        <c:manualLayout>
          <c:xMode val="edge"/>
          <c:yMode val="edge"/>
          <c:x val="0.1802055431007647"/>
          <c:y val="3.2801898214735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8768272985085023E-2"/>
          <c:y val="0.20430179037085003"/>
          <c:w val="0.88587113244298565"/>
          <c:h val="0.6641928438273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Diskonteringsverktyg!$AC$4</c:f>
              <c:strCache>
                <c:ptCount val="1"/>
                <c:pt idx="0">
                  <c:v>Invkostnad, kapit. exkl skf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Diskonteringsverktyg!$O$6:$O$77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cat>
          <c:val>
            <c:numRef>
              <c:f>Diskonteringsverktyg!$AC$6:$AC$77</c:f>
              <c:numCache>
                <c:formatCode>#,##0.00</c:formatCode>
                <c:ptCount val="71"/>
                <c:pt idx="0">
                  <c:v>95000</c:v>
                </c:pt>
                <c:pt idx="1">
                  <c:v>91787.439613526571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 formatCode="#\ ##0.000">
                  <c:v>0</c:v>
                </c:pt>
                <c:pt idx="42" formatCode="#\ ##0.000">
                  <c:v>0</c:v>
                </c:pt>
                <c:pt idx="43" formatCode="#\ ##0.000">
                  <c:v>0</c:v>
                </c:pt>
                <c:pt idx="44" formatCode="#\ ##0.000">
                  <c:v>0</c:v>
                </c:pt>
                <c:pt idx="45" formatCode="#\ ##0.000">
                  <c:v>0</c:v>
                </c:pt>
                <c:pt idx="46" formatCode="#\ ##0.000">
                  <c:v>0</c:v>
                </c:pt>
                <c:pt idx="47" formatCode="#\ ##0.000">
                  <c:v>0</c:v>
                </c:pt>
                <c:pt idx="48" formatCode="#\ ##0.000">
                  <c:v>0</c:v>
                </c:pt>
                <c:pt idx="49" formatCode="#\ ##0.000">
                  <c:v>0</c:v>
                </c:pt>
                <c:pt idx="50" formatCode="#\ ##0.000">
                  <c:v>0</c:v>
                </c:pt>
                <c:pt idx="51" formatCode="#\ ##0.000">
                  <c:v>0</c:v>
                </c:pt>
                <c:pt idx="52" formatCode="#\ ##0.000">
                  <c:v>0</c:v>
                </c:pt>
                <c:pt idx="53" formatCode="#\ ##0.000">
                  <c:v>0</c:v>
                </c:pt>
                <c:pt idx="54" formatCode="#\ ##0.000">
                  <c:v>0</c:v>
                </c:pt>
                <c:pt idx="55" formatCode="#\ ##0.000">
                  <c:v>0</c:v>
                </c:pt>
                <c:pt idx="56" formatCode="#\ ##0.000">
                  <c:v>0</c:v>
                </c:pt>
                <c:pt idx="57" formatCode="#\ ##0.000">
                  <c:v>0</c:v>
                </c:pt>
                <c:pt idx="58" formatCode="#\ ##0.000">
                  <c:v>0</c:v>
                </c:pt>
                <c:pt idx="59" formatCode="#\ ##0.0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2-4887-B8E9-A2B686AC4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216593648"/>
        <c:axId val="216594432"/>
      </c:barChart>
      <c:catAx>
        <c:axId val="21659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65944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65944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659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230423</xdr:colOff>
      <xdr:row>26</xdr:row>
      <xdr:rowOff>110797</xdr:rowOff>
    </xdr:from>
    <xdr:to>
      <xdr:col>44</xdr:col>
      <xdr:colOff>158750</xdr:colOff>
      <xdr:row>47</xdr:row>
      <xdr:rowOff>111125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225429</xdr:colOff>
      <xdr:row>2</xdr:row>
      <xdr:rowOff>79889</xdr:rowOff>
    </xdr:from>
    <xdr:to>
      <xdr:col>44</xdr:col>
      <xdr:colOff>177800</xdr:colOff>
      <xdr:row>25</xdr:row>
      <xdr:rowOff>155575</xdr:rowOff>
    </xdr:to>
    <xdr:graphicFrame macro="">
      <xdr:nvGraphicFramePr>
        <xdr:cNvPr id="3" name="Chart 2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259556</xdr:colOff>
      <xdr:row>48</xdr:row>
      <xdr:rowOff>73818</xdr:rowOff>
    </xdr:from>
    <xdr:to>
      <xdr:col>44</xdr:col>
      <xdr:colOff>190499</xdr:colOff>
      <xdr:row>72</xdr:row>
      <xdr:rowOff>63500</xdr:rowOff>
    </xdr:to>
    <xdr:graphicFrame macro="">
      <xdr:nvGraphicFramePr>
        <xdr:cNvPr id="4" name="Chart 2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26194</xdr:colOff>
      <xdr:row>0</xdr:row>
      <xdr:rowOff>92868</xdr:rowOff>
    </xdr:from>
    <xdr:to>
      <xdr:col>2</xdr:col>
      <xdr:colOff>2087563</xdr:colOff>
      <xdr:row>3</xdr:row>
      <xdr:rowOff>10052</xdr:rowOff>
    </xdr:to>
    <xdr:pic>
      <xdr:nvPicPr>
        <xdr:cNvPr id="7" name="Bildobjekt 6" descr="trafikverket-logo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194" y="92868"/>
          <a:ext cx="2464594" cy="4691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fikverket.se/Users/wmanfra/Desktop/Stockholm%2013%20jan%202009%20V&#228;gverket/Effekter%20hastighets&#246;versyn%20Version%202%202009-03-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fikverket.se/Users/wmanfra/Desktop/RESURSPLANERING/Stockhol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ösen"/>
      <sheetName val="Infoga"/>
      <sheetName val="Tabort"/>
      <sheetName val="START"/>
      <sheetName val="Beräkningar"/>
      <sheetName val="Resultat"/>
      <sheetName val="Oskyddat resultat"/>
      <sheetName val="mall oskyddat res"/>
      <sheetName val="Bränslekostnad"/>
      <sheetName val="Siktklass o vägbredd"/>
      <sheetName val="V,Dföre"/>
      <sheetName val="Version"/>
      <sheetName val="FÖRDELNINGFORDON"/>
      <sheetName val="CO2-Emissionsdata"/>
      <sheetName val="Bullerdata"/>
      <sheetName val="Vägbredd"/>
      <sheetName val="Län och kommuner"/>
      <sheetName val="Filer"/>
    </sheetNames>
    <sheetDataSet>
      <sheetData sheetId="0" refreshError="1"/>
      <sheetData sheetId="1" refreshError="1"/>
      <sheetData sheetId="2" refreshError="1"/>
      <sheetData sheetId="3">
        <row r="1">
          <cell r="O1" t="str">
            <v>C:\Users\wmanfra\Desktop\Stockholm 13 jan 2009 Vägverket\Kopia av Effekter hastighetsöversyn Version 1 2 Bullerexempel 2009-01-13.xlsm</v>
          </cell>
          <cell r="P1" t="str">
            <v>C:\...\...\...\...\Kopia av Effekter hastighetsöversyn Version 1 2 Bullerexempel 2009-01-13.xlsm</v>
          </cell>
        </row>
        <row r="2">
          <cell r="O2" t="str">
            <v>C:\Users\wmanfra\Desktop\Stockholm 13 jan 2009 Vägverket\Effekter hastighetsöversyn Version 2 2009-02-13.xls</v>
          </cell>
          <cell r="P2" t="str">
            <v>C:\...\...\...\...\Effekter hastighetsöversyn Version 2 2009-02-13.xls</v>
          </cell>
        </row>
      </sheetData>
      <sheetData sheetId="4">
        <row r="14">
          <cell r="GJ14" t="str">
            <v>AB</v>
          </cell>
          <cell r="GS14" t="str">
            <v>AB</v>
          </cell>
        </row>
        <row r="15">
          <cell r="GJ15" t="str">
            <v>AB</v>
          </cell>
          <cell r="GS15" t="str">
            <v>C</v>
          </cell>
        </row>
        <row r="16">
          <cell r="GJ16" t="str">
            <v>AB</v>
          </cell>
          <cell r="GS16" t="str">
            <v>D</v>
          </cell>
        </row>
        <row r="17">
          <cell r="GJ17" t="str">
            <v>AB</v>
          </cell>
          <cell r="GS17" t="str">
            <v>E</v>
          </cell>
        </row>
        <row r="18">
          <cell r="GJ18" t="str">
            <v>AB</v>
          </cell>
          <cell r="GS18" t="str">
            <v>F</v>
          </cell>
        </row>
        <row r="19">
          <cell r="GJ19" t="str">
            <v>AB</v>
          </cell>
          <cell r="GS19" t="str">
            <v>G</v>
          </cell>
        </row>
        <row r="20">
          <cell r="GJ20" t="str">
            <v>AB</v>
          </cell>
          <cell r="GS20" t="str">
            <v>H</v>
          </cell>
        </row>
        <row r="21">
          <cell r="GJ21" t="str">
            <v>AB</v>
          </cell>
          <cell r="GS21" t="str">
            <v>I</v>
          </cell>
        </row>
        <row r="22">
          <cell r="GJ22" t="str">
            <v>AB</v>
          </cell>
          <cell r="GS22" t="str">
            <v>K</v>
          </cell>
        </row>
        <row r="23">
          <cell r="GJ23" t="str">
            <v>AB</v>
          </cell>
          <cell r="GS23" t="str">
            <v>M</v>
          </cell>
        </row>
        <row r="24">
          <cell r="GJ24" t="str">
            <v>AB</v>
          </cell>
          <cell r="GS24" t="str">
            <v>N</v>
          </cell>
        </row>
        <row r="25">
          <cell r="GJ25" t="str">
            <v>AB</v>
          </cell>
          <cell r="GS25" t="str">
            <v>O</v>
          </cell>
        </row>
        <row r="26">
          <cell r="GJ26" t="str">
            <v>AB</v>
          </cell>
          <cell r="GS26" t="str">
            <v>S</v>
          </cell>
        </row>
        <row r="27">
          <cell r="GJ27" t="str">
            <v>AB</v>
          </cell>
          <cell r="GS27" t="str">
            <v>T</v>
          </cell>
        </row>
        <row r="28">
          <cell r="GJ28" t="str">
            <v>AB</v>
          </cell>
          <cell r="GS28" t="str">
            <v>U</v>
          </cell>
        </row>
        <row r="29">
          <cell r="GJ29" t="str">
            <v>AB</v>
          </cell>
          <cell r="GS29" t="str">
            <v>W</v>
          </cell>
        </row>
        <row r="30">
          <cell r="GJ30" t="str">
            <v>AB</v>
          </cell>
          <cell r="GS30" t="str">
            <v>X</v>
          </cell>
        </row>
        <row r="31">
          <cell r="GJ31" t="str">
            <v>AB</v>
          </cell>
          <cell r="GS31" t="str">
            <v>Y</v>
          </cell>
        </row>
        <row r="32">
          <cell r="GJ32" t="str">
            <v>AB</v>
          </cell>
          <cell r="GS32" t="str">
            <v>Z</v>
          </cell>
        </row>
        <row r="33">
          <cell r="GJ33" t="str">
            <v>AB</v>
          </cell>
          <cell r="GS33" t="str">
            <v>AC</v>
          </cell>
        </row>
        <row r="34">
          <cell r="GJ34" t="str">
            <v>AB</v>
          </cell>
          <cell r="GS34" t="str">
            <v>BD</v>
          </cell>
        </row>
        <row r="35">
          <cell r="GJ35" t="str">
            <v>AB</v>
          </cell>
        </row>
        <row r="36">
          <cell r="GJ36" t="str">
            <v>AB</v>
          </cell>
        </row>
        <row r="37">
          <cell r="GJ37" t="str">
            <v>AB</v>
          </cell>
        </row>
        <row r="38">
          <cell r="GJ38" t="str">
            <v>AB</v>
          </cell>
        </row>
        <row r="39">
          <cell r="GJ39" t="str">
            <v>AB</v>
          </cell>
        </row>
        <row r="40">
          <cell r="GJ40" t="str">
            <v>AC</v>
          </cell>
        </row>
        <row r="41">
          <cell r="GJ41" t="str">
            <v>AC</v>
          </cell>
        </row>
        <row r="42">
          <cell r="GJ42" t="str">
            <v>AC</v>
          </cell>
        </row>
        <row r="43">
          <cell r="GJ43" t="str">
            <v>AC</v>
          </cell>
        </row>
        <row r="44">
          <cell r="GJ44" t="str">
            <v>AC</v>
          </cell>
        </row>
        <row r="45">
          <cell r="GJ45" t="str">
            <v>AC</v>
          </cell>
        </row>
        <row r="46">
          <cell r="GJ46" t="str">
            <v>AC</v>
          </cell>
        </row>
        <row r="47">
          <cell r="GJ47" t="str">
            <v>AC</v>
          </cell>
        </row>
        <row r="48">
          <cell r="GJ48" t="str">
            <v>AC</v>
          </cell>
        </row>
        <row r="49">
          <cell r="GJ49" t="str">
            <v>AC</v>
          </cell>
        </row>
        <row r="50">
          <cell r="GJ50" t="str">
            <v>AC</v>
          </cell>
        </row>
        <row r="51">
          <cell r="GJ51" t="str">
            <v>AC</v>
          </cell>
        </row>
        <row r="52">
          <cell r="GJ52" t="str">
            <v>AC</v>
          </cell>
        </row>
        <row r="53">
          <cell r="GJ53" t="str">
            <v>AC</v>
          </cell>
        </row>
        <row r="54">
          <cell r="GJ54" t="str">
            <v>AC</v>
          </cell>
          <cell r="GP54">
            <v>1</v>
          </cell>
        </row>
        <row r="55">
          <cell r="GJ55" t="str">
            <v>BD</v>
          </cell>
          <cell r="GP55">
            <v>2</v>
          </cell>
        </row>
        <row r="56">
          <cell r="GJ56" t="str">
            <v>BD</v>
          </cell>
          <cell r="GP56">
            <v>3</v>
          </cell>
        </row>
        <row r="57">
          <cell r="GJ57" t="str">
            <v>BD</v>
          </cell>
          <cell r="GP57">
            <v>4</v>
          </cell>
        </row>
        <row r="58">
          <cell r="GJ58" t="str">
            <v>BD</v>
          </cell>
          <cell r="GP58">
            <v>5</v>
          </cell>
        </row>
        <row r="59">
          <cell r="GJ59" t="str">
            <v>BD</v>
          </cell>
          <cell r="GP59">
            <v>6</v>
          </cell>
        </row>
        <row r="60">
          <cell r="GJ60" t="str">
            <v>BD</v>
          </cell>
          <cell r="GP60">
            <v>7</v>
          </cell>
        </row>
        <row r="61">
          <cell r="GJ61" t="str">
            <v>BD</v>
          </cell>
          <cell r="GP61">
            <v>8</v>
          </cell>
        </row>
        <row r="62">
          <cell r="GJ62" t="str">
            <v>BD</v>
          </cell>
          <cell r="GP62">
            <v>9</v>
          </cell>
        </row>
        <row r="63">
          <cell r="GJ63" t="str">
            <v>BD</v>
          </cell>
          <cell r="GP63">
            <v>22</v>
          </cell>
        </row>
        <row r="64">
          <cell r="GJ64" t="str">
            <v>BD</v>
          </cell>
          <cell r="GP64">
            <v>26</v>
          </cell>
        </row>
        <row r="65">
          <cell r="GJ65" t="str">
            <v>BD</v>
          </cell>
          <cell r="GP65">
            <v>32</v>
          </cell>
        </row>
        <row r="66">
          <cell r="GJ66" t="str">
            <v>BD</v>
          </cell>
          <cell r="GP66">
            <v>36</v>
          </cell>
        </row>
        <row r="67">
          <cell r="GJ67" t="str">
            <v>BD</v>
          </cell>
        </row>
        <row r="68">
          <cell r="GJ68" t="str">
            <v>BD</v>
          </cell>
        </row>
        <row r="69">
          <cell r="GJ69" t="str">
            <v>C</v>
          </cell>
        </row>
        <row r="70">
          <cell r="GJ70" t="str">
            <v>C</v>
          </cell>
        </row>
        <row r="71">
          <cell r="GJ71" t="str">
            <v>C</v>
          </cell>
        </row>
        <row r="72">
          <cell r="GJ72" t="str">
            <v>C</v>
          </cell>
        </row>
        <row r="73">
          <cell r="GJ73" t="str">
            <v>C</v>
          </cell>
        </row>
        <row r="74">
          <cell r="GJ74" t="str">
            <v>C</v>
          </cell>
        </row>
        <row r="75">
          <cell r="GJ75" t="str">
            <v>C</v>
          </cell>
        </row>
        <row r="76">
          <cell r="GJ76" t="str">
            <v>D</v>
          </cell>
        </row>
        <row r="77">
          <cell r="GJ77" t="str">
            <v>D</v>
          </cell>
        </row>
        <row r="78">
          <cell r="GJ78" t="str">
            <v>D</v>
          </cell>
        </row>
        <row r="79">
          <cell r="GJ79" t="str">
            <v>D</v>
          </cell>
        </row>
        <row r="80">
          <cell r="GJ80" t="str">
            <v>D</v>
          </cell>
        </row>
        <row r="81">
          <cell r="GJ81" t="str">
            <v>D</v>
          </cell>
        </row>
        <row r="82">
          <cell r="GJ82" t="str">
            <v>D</v>
          </cell>
        </row>
        <row r="83">
          <cell r="GJ83" t="str">
            <v>D</v>
          </cell>
        </row>
        <row r="84">
          <cell r="GJ84" t="str">
            <v>D</v>
          </cell>
        </row>
        <row r="85">
          <cell r="GJ85" t="str">
            <v>E</v>
          </cell>
        </row>
        <row r="86">
          <cell r="GJ86" t="str">
            <v>E</v>
          </cell>
        </row>
        <row r="87">
          <cell r="GJ87" t="str">
            <v>E</v>
          </cell>
        </row>
        <row r="88">
          <cell r="GJ88" t="str">
            <v>E</v>
          </cell>
        </row>
        <row r="89">
          <cell r="GJ89" t="str">
            <v>E</v>
          </cell>
        </row>
        <row r="90">
          <cell r="GJ90" t="str">
            <v>E</v>
          </cell>
        </row>
        <row r="91">
          <cell r="GJ91" t="str">
            <v>E</v>
          </cell>
        </row>
        <row r="92">
          <cell r="GJ92" t="str">
            <v>E</v>
          </cell>
        </row>
        <row r="93">
          <cell r="GJ93" t="str">
            <v>E</v>
          </cell>
        </row>
        <row r="94">
          <cell r="GJ94" t="str">
            <v>E</v>
          </cell>
        </row>
        <row r="95">
          <cell r="GJ95" t="str">
            <v>E</v>
          </cell>
        </row>
        <row r="96">
          <cell r="GJ96" t="str">
            <v>E</v>
          </cell>
        </row>
        <row r="97">
          <cell r="GJ97" t="str">
            <v>E</v>
          </cell>
        </row>
        <row r="98">
          <cell r="GJ98" t="str">
            <v>F</v>
          </cell>
        </row>
        <row r="99">
          <cell r="GJ99" t="str">
            <v>F</v>
          </cell>
        </row>
        <row r="100">
          <cell r="GJ100" t="str">
            <v>F</v>
          </cell>
        </row>
        <row r="101">
          <cell r="GJ101" t="str">
            <v>F</v>
          </cell>
        </row>
        <row r="102">
          <cell r="GJ102" t="str">
            <v>F</v>
          </cell>
        </row>
        <row r="103">
          <cell r="GJ103" t="str">
            <v>F</v>
          </cell>
        </row>
        <row r="104">
          <cell r="GJ104" t="str">
            <v>F</v>
          </cell>
        </row>
        <row r="105">
          <cell r="GJ105" t="str">
            <v>F</v>
          </cell>
        </row>
        <row r="106">
          <cell r="GJ106" t="str">
            <v>F</v>
          </cell>
        </row>
        <row r="107">
          <cell r="GJ107" t="str">
            <v>F</v>
          </cell>
        </row>
        <row r="108">
          <cell r="GJ108" t="str">
            <v>F</v>
          </cell>
        </row>
        <row r="109">
          <cell r="GJ109" t="str">
            <v>F</v>
          </cell>
        </row>
        <row r="110">
          <cell r="GJ110" t="str">
            <v>F</v>
          </cell>
        </row>
        <row r="111">
          <cell r="GJ111" t="str">
            <v>G</v>
          </cell>
        </row>
        <row r="112">
          <cell r="GJ112" t="str">
            <v>G</v>
          </cell>
        </row>
        <row r="113">
          <cell r="GJ113" t="str">
            <v>G</v>
          </cell>
        </row>
        <row r="114">
          <cell r="GJ114" t="str">
            <v>G</v>
          </cell>
        </row>
        <row r="115">
          <cell r="GJ115" t="str">
            <v>G</v>
          </cell>
        </row>
        <row r="116">
          <cell r="GJ116" t="str">
            <v>G</v>
          </cell>
        </row>
        <row r="117">
          <cell r="GJ117" t="str">
            <v>G</v>
          </cell>
        </row>
        <row r="118">
          <cell r="GJ118" t="str">
            <v>G</v>
          </cell>
        </row>
        <row r="119">
          <cell r="GJ119" t="str">
            <v>H</v>
          </cell>
        </row>
        <row r="120">
          <cell r="GJ120" t="str">
            <v>H</v>
          </cell>
        </row>
        <row r="121">
          <cell r="GJ121" t="str">
            <v>H</v>
          </cell>
        </row>
        <row r="122">
          <cell r="GJ122" t="str">
            <v>H</v>
          </cell>
        </row>
        <row r="123">
          <cell r="GJ123" t="str">
            <v>H</v>
          </cell>
        </row>
        <row r="124">
          <cell r="GJ124" t="str">
            <v>H</v>
          </cell>
        </row>
        <row r="125">
          <cell r="GJ125" t="str">
            <v>H</v>
          </cell>
        </row>
        <row r="126">
          <cell r="GJ126" t="str">
            <v>H</v>
          </cell>
        </row>
        <row r="127">
          <cell r="GJ127" t="str">
            <v>H</v>
          </cell>
        </row>
        <row r="128">
          <cell r="GJ128" t="str">
            <v>H</v>
          </cell>
        </row>
        <row r="129">
          <cell r="GJ129" t="str">
            <v>H</v>
          </cell>
        </row>
        <row r="130">
          <cell r="GJ130" t="str">
            <v>H</v>
          </cell>
        </row>
        <row r="131">
          <cell r="GJ131" t="str">
            <v>I</v>
          </cell>
        </row>
        <row r="132">
          <cell r="GJ132" t="str">
            <v>K</v>
          </cell>
        </row>
        <row r="133">
          <cell r="GJ133" t="str">
            <v>K</v>
          </cell>
        </row>
        <row r="134">
          <cell r="GJ134" t="str">
            <v>K</v>
          </cell>
        </row>
        <row r="135">
          <cell r="GJ135" t="str">
            <v>K</v>
          </cell>
        </row>
        <row r="136">
          <cell r="GJ136" t="str">
            <v>K</v>
          </cell>
        </row>
        <row r="137">
          <cell r="GJ137" t="str">
            <v>M</v>
          </cell>
        </row>
        <row r="138">
          <cell r="GJ138" t="str">
            <v>M</v>
          </cell>
        </row>
        <row r="139">
          <cell r="GJ139" t="str">
            <v>M</v>
          </cell>
        </row>
        <row r="140">
          <cell r="GJ140" t="str">
            <v>M</v>
          </cell>
        </row>
        <row r="141">
          <cell r="GJ141" t="str">
            <v>M</v>
          </cell>
        </row>
        <row r="142">
          <cell r="GJ142" t="str">
            <v>M</v>
          </cell>
        </row>
        <row r="143">
          <cell r="GJ143" t="str">
            <v>M</v>
          </cell>
        </row>
        <row r="144">
          <cell r="GJ144" t="str">
            <v>M</v>
          </cell>
        </row>
        <row r="145">
          <cell r="GJ145" t="str">
            <v>M</v>
          </cell>
        </row>
        <row r="146">
          <cell r="GJ146" t="str">
            <v>M</v>
          </cell>
        </row>
        <row r="147">
          <cell r="GJ147" t="str">
            <v>M</v>
          </cell>
        </row>
        <row r="148">
          <cell r="GJ148" t="str">
            <v>M</v>
          </cell>
        </row>
        <row r="149">
          <cell r="GJ149" t="str">
            <v>M</v>
          </cell>
        </row>
        <row r="150">
          <cell r="GJ150" t="str">
            <v>M</v>
          </cell>
        </row>
        <row r="151">
          <cell r="GJ151" t="str">
            <v>M</v>
          </cell>
        </row>
        <row r="152">
          <cell r="GJ152" t="str">
            <v>M</v>
          </cell>
        </row>
        <row r="153">
          <cell r="GJ153" t="str">
            <v>M</v>
          </cell>
        </row>
        <row r="154">
          <cell r="GJ154" t="str">
            <v>M</v>
          </cell>
        </row>
        <row r="155">
          <cell r="GJ155" t="str">
            <v>M</v>
          </cell>
        </row>
        <row r="156">
          <cell r="GJ156" t="str">
            <v>M</v>
          </cell>
        </row>
        <row r="157">
          <cell r="GJ157" t="str">
            <v>M</v>
          </cell>
        </row>
        <row r="158">
          <cell r="GJ158" t="str">
            <v>M</v>
          </cell>
        </row>
        <row r="159">
          <cell r="GJ159" t="str">
            <v>M</v>
          </cell>
        </row>
        <row r="160">
          <cell r="GJ160" t="str">
            <v>M</v>
          </cell>
        </row>
        <row r="161">
          <cell r="GJ161" t="str">
            <v>M</v>
          </cell>
        </row>
        <row r="162">
          <cell r="GJ162" t="str">
            <v>M</v>
          </cell>
        </row>
        <row r="163">
          <cell r="GJ163" t="str">
            <v>M</v>
          </cell>
        </row>
        <row r="164">
          <cell r="GJ164" t="str">
            <v>M</v>
          </cell>
        </row>
        <row r="165">
          <cell r="GJ165" t="str">
            <v>M</v>
          </cell>
        </row>
        <row r="166">
          <cell r="GJ166" t="str">
            <v>M</v>
          </cell>
        </row>
        <row r="167">
          <cell r="GJ167" t="str">
            <v>M</v>
          </cell>
        </row>
        <row r="168">
          <cell r="GJ168" t="str">
            <v>M</v>
          </cell>
        </row>
        <row r="169">
          <cell r="GJ169" t="str">
            <v>M</v>
          </cell>
        </row>
        <row r="170">
          <cell r="GJ170" t="str">
            <v>N</v>
          </cell>
        </row>
        <row r="171">
          <cell r="GJ171" t="str">
            <v>N</v>
          </cell>
        </row>
        <row r="172">
          <cell r="GJ172" t="str">
            <v>N</v>
          </cell>
        </row>
        <row r="173">
          <cell r="GJ173" t="str">
            <v>N</v>
          </cell>
        </row>
        <row r="174">
          <cell r="GJ174" t="str">
            <v>N</v>
          </cell>
        </row>
        <row r="175">
          <cell r="GJ175" t="str">
            <v>N</v>
          </cell>
        </row>
        <row r="176">
          <cell r="GJ176" t="str">
            <v>O</v>
          </cell>
        </row>
        <row r="177">
          <cell r="GJ177" t="str">
            <v>O</v>
          </cell>
        </row>
        <row r="178">
          <cell r="GJ178" t="str">
            <v>O</v>
          </cell>
        </row>
        <row r="179">
          <cell r="GJ179" t="str">
            <v>O</v>
          </cell>
        </row>
        <row r="180">
          <cell r="GJ180" t="str">
            <v>O</v>
          </cell>
        </row>
        <row r="181">
          <cell r="GJ181" t="str">
            <v>O</v>
          </cell>
        </row>
        <row r="182">
          <cell r="GJ182" t="str">
            <v>O</v>
          </cell>
        </row>
        <row r="183">
          <cell r="GJ183" t="str">
            <v>O</v>
          </cell>
        </row>
        <row r="184">
          <cell r="GJ184" t="str">
            <v>O</v>
          </cell>
        </row>
        <row r="185">
          <cell r="GJ185" t="str">
            <v>O</v>
          </cell>
        </row>
        <row r="186">
          <cell r="GJ186" t="str">
            <v>O</v>
          </cell>
        </row>
        <row r="187">
          <cell r="GJ187" t="str">
            <v>O</v>
          </cell>
        </row>
        <row r="188">
          <cell r="GJ188" t="str">
            <v>O</v>
          </cell>
        </row>
        <row r="189">
          <cell r="GJ189" t="str">
            <v>O</v>
          </cell>
        </row>
        <row r="190">
          <cell r="GJ190" t="str">
            <v>O</v>
          </cell>
        </row>
        <row r="191">
          <cell r="GJ191" t="str">
            <v>O</v>
          </cell>
        </row>
        <row r="192">
          <cell r="GJ192" t="str">
            <v>O</v>
          </cell>
        </row>
        <row r="193">
          <cell r="GJ193" t="str">
            <v>O</v>
          </cell>
        </row>
        <row r="194">
          <cell r="GJ194" t="str">
            <v>O</v>
          </cell>
        </row>
        <row r="195">
          <cell r="GJ195" t="str">
            <v>O</v>
          </cell>
        </row>
        <row r="196">
          <cell r="GJ196" t="str">
            <v>O</v>
          </cell>
        </row>
        <row r="197">
          <cell r="GJ197" t="str">
            <v>O</v>
          </cell>
        </row>
        <row r="198">
          <cell r="GJ198" t="str">
            <v>O</v>
          </cell>
        </row>
        <row r="199">
          <cell r="GJ199" t="str">
            <v>O</v>
          </cell>
        </row>
        <row r="200">
          <cell r="GJ200" t="str">
            <v>O</v>
          </cell>
        </row>
        <row r="201">
          <cell r="GJ201" t="str">
            <v>O</v>
          </cell>
        </row>
        <row r="202">
          <cell r="GJ202" t="str">
            <v>O</v>
          </cell>
        </row>
        <row r="203">
          <cell r="GJ203" t="str">
            <v>O</v>
          </cell>
        </row>
        <row r="204">
          <cell r="GJ204" t="str">
            <v>O</v>
          </cell>
        </row>
        <row r="205">
          <cell r="GJ205" t="str">
            <v>O</v>
          </cell>
        </row>
        <row r="206">
          <cell r="GJ206" t="str">
            <v>O</v>
          </cell>
        </row>
        <row r="207">
          <cell r="GJ207" t="str">
            <v>O</v>
          </cell>
        </row>
        <row r="208">
          <cell r="GJ208" t="str">
            <v>O</v>
          </cell>
        </row>
        <row r="209">
          <cell r="GJ209" t="str">
            <v>O</v>
          </cell>
        </row>
        <row r="210">
          <cell r="GJ210" t="str">
            <v>O</v>
          </cell>
        </row>
        <row r="211">
          <cell r="GJ211" t="str">
            <v>O</v>
          </cell>
        </row>
        <row r="212">
          <cell r="GJ212" t="str">
            <v>O</v>
          </cell>
        </row>
        <row r="213">
          <cell r="GJ213" t="str">
            <v>O</v>
          </cell>
        </row>
        <row r="214">
          <cell r="GJ214" t="str">
            <v>O</v>
          </cell>
        </row>
        <row r="215">
          <cell r="GJ215" t="str">
            <v>O</v>
          </cell>
        </row>
        <row r="216">
          <cell r="GJ216" t="str">
            <v>O</v>
          </cell>
        </row>
        <row r="217">
          <cell r="GJ217" t="str">
            <v>O</v>
          </cell>
        </row>
        <row r="218">
          <cell r="GJ218" t="str">
            <v>O</v>
          </cell>
        </row>
        <row r="219">
          <cell r="GJ219" t="str">
            <v>O</v>
          </cell>
        </row>
        <row r="220">
          <cell r="GJ220" t="str">
            <v>O</v>
          </cell>
        </row>
        <row r="221">
          <cell r="GJ221" t="str">
            <v>O</v>
          </cell>
        </row>
        <row r="222">
          <cell r="GJ222" t="str">
            <v>O</v>
          </cell>
        </row>
        <row r="223">
          <cell r="GJ223" t="str">
            <v>O</v>
          </cell>
        </row>
        <row r="224">
          <cell r="GJ224" t="str">
            <v>O</v>
          </cell>
        </row>
        <row r="225">
          <cell r="GJ225" t="str">
            <v>S</v>
          </cell>
        </row>
        <row r="226">
          <cell r="GJ226" t="str">
            <v>S</v>
          </cell>
        </row>
        <row r="227">
          <cell r="GJ227" t="str">
            <v>S</v>
          </cell>
        </row>
        <row r="228">
          <cell r="GJ228" t="str">
            <v>S</v>
          </cell>
        </row>
        <row r="229">
          <cell r="GJ229" t="str">
            <v>S</v>
          </cell>
        </row>
        <row r="230">
          <cell r="GJ230" t="str">
            <v>S</v>
          </cell>
        </row>
        <row r="231">
          <cell r="GJ231" t="str">
            <v>S</v>
          </cell>
        </row>
        <row r="232">
          <cell r="GJ232" t="str">
            <v>S</v>
          </cell>
        </row>
        <row r="233">
          <cell r="GJ233" t="str">
            <v>S</v>
          </cell>
        </row>
        <row r="234">
          <cell r="GJ234" t="str">
            <v>S</v>
          </cell>
        </row>
        <row r="235">
          <cell r="GJ235" t="str">
            <v>S</v>
          </cell>
        </row>
        <row r="236">
          <cell r="GJ236" t="str">
            <v>S</v>
          </cell>
        </row>
        <row r="237">
          <cell r="GJ237" t="str">
            <v>S</v>
          </cell>
        </row>
        <row r="238">
          <cell r="GJ238" t="str">
            <v>S</v>
          </cell>
        </row>
        <row r="239">
          <cell r="GJ239" t="str">
            <v>S</v>
          </cell>
        </row>
        <row r="240">
          <cell r="GJ240" t="str">
            <v>S</v>
          </cell>
        </row>
        <row r="241">
          <cell r="GJ241" t="str">
            <v>T</v>
          </cell>
        </row>
        <row r="242">
          <cell r="GJ242" t="str">
            <v>T</v>
          </cell>
        </row>
        <row r="243">
          <cell r="GJ243" t="str">
            <v>T</v>
          </cell>
        </row>
        <row r="244">
          <cell r="GJ244" t="str">
            <v>T</v>
          </cell>
        </row>
        <row r="245">
          <cell r="GJ245" t="str">
            <v>T</v>
          </cell>
        </row>
        <row r="246">
          <cell r="GJ246" t="str">
            <v>T</v>
          </cell>
        </row>
        <row r="247">
          <cell r="GJ247" t="str">
            <v>T</v>
          </cell>
        </row>
        <row r="248">
          <cell r="GJ248" t="str">
            <v>T</v>
          </cell>
        </row>
        <row r="249">
          <cell r="GJ249" t="str">
            <v>T</v>
          </cell>
        </row>
        <row r="250">
          <cell r="GJ250" t="str">
            <v>T</v>
          </cell>
        </row>
        <row r="251">
          <cell r="GJ251" t="str">
            <v>T</v>
          </cell>
        </row>
        <row r="252">
          <cell r="GJ252" t="str">
            <v>T</v>
          </cell>
        </row>
        <row r="253">
          <cell r="GJ253" t="str">
            <v>U</v>
          </cell>
        </row>
        <row r="254">
          <cell r="GJ254" t="str">
            <v>U</v>
          </cell>
        </row>
        <row r="255">
          <cell r="GJ255" t="str">
            <v>U</v>
          </cell>
        </row>
        <row r="256">
          <cell r="GJ256" t="str">
            <v>U</v>
          </cell>
        </row>
        <row r="257">
          <cell r="GJ257" t="str">
            <v>U</v>
          </cell>
        </row>
        <row r="258">
          <cell r="GJ258" t="str">
            <v>U</v>
          </cell>
        </row>
        <row r="259">
          <cell r="GJ259" t="str">
            <v>U</v>
          </cell>
        </row>
        <row r="260">
          <cell r="GJ260" t="str">
            <v>U</v>
          </cell>
        </row>
        <row r="261">
          <cell r="GJ261" t="str">
            <v>U</v>
          </cell>
        </row>
        <row r="262">
          <cell r="GJ262" t="str">
            <v>U</v>
          </cell>
        </row>
        <row r="263">
          <cell r="GJ263" t="str">
            <v>U</v>
          </cell>
        </row>
        <row r="264">
          <cell r="GJ264" t="str">
            <v>W</v>
          </cell>
        </row>
        <row r="265">
          <cell r="GJ265" t="str">
            <v>W</v>
          </cell>
        </row>
        <row r="266">
          <cell r="GJ266" t="str">
            <v>W</v>
          </cell>
        </row>
        <row r="267">
          <cell r="GJ267" t="str">
            <v>W</v>
          </cell>
        </row>
        <row r="268">
          <cell r="GJ268" t="str">
            <v>W</v>
          </cell>
        </row>
        <row r="269">
          <cell r="GJ269" t="str">
            <v>W</v>
          </cell>
        </row>
        <row r="270">
          <cell r="GJ270" t="str">
            <v>W</v>
          </cell>
        </row>
        <row r="271">
          <cell r="GJ271" t="str">
            <v>W</v>
          </cell>
        </row>
        <row r="272">
          <cell r="GJ272" t="str">
            <v>W</v>
          </cell>
        </row>
        <row r="273">
          <cell r="GJ273" t="str">
            <v>W</v>
          </cell>
        </row>
        <row r="274">
          <cell r="GJ274" t="str">
            <v>W</v>
          </cell>
        </row>
        <row r="275">
          <cell r="GJ275" t="str">
            <v>W</v>
          </cell>
        </row>
        <row r="276">
          <cell r="GJ276" t="str">
            <v>W</v>
          </cell>
        </row>
        <row r="277">
          <cell r="GJ277" t="str">
            <v>W</v>
          </cell>
        </row>
        <row r="278">
          <cell r="GJ278" t="str">
            <v>W</v>
          </cell>
        </row>
        <row r="279">
          <cell r="GJ279" t="str">
            <v>X</v>
          </cell>
        </row>
        <row r="280">
          <cell r="GJ280" t="str">
            <v>X</v>
          </cell>
        </row>
        <row r="281">
          <cell r="GJ281" t="str">
            <v>X</v>
          </cell>
        </row>
        <row r="282">
          <cell r="GJ282" t="str">
            <v>X</v>
          </cell>
        </row>
        <row r="283">
          <cell r="GJ283" t="str">
            <v>X</v>
          </cell>
        </row>
        <row r="284">
          <cell r="GJ284" t="str">
            <v>X</v>
          </cell>
        </row>
        <row r="285">
          <cell r="GJ285" t="str">
            <v>X</v>
          </cell>
        </row>
        <row r="286">
          <cell r="GJ286" t="str">
            <v>X</v>
          </cell>
        </row>
        <row r="287">
          <cell r="GJ287" t="str">
            <v>X</v>
          </cell>
        </row>
        <row r="288">
          <cell r="GJ288" t="str">
            <v>X</v>
          </cell>
        </row>
        <row r="289">
          <cell r="GJ289" t="str">
            <v>Y</v>
          </cell>
        </row>
        <row r="290">
          <cell r="GJ290" t="str">
            <v>Y</v>
          </cell>
        </row>
        <row r="291">
          <cell r="GJ291" t="str">
            <v>Y</v>
          </cell>
        </row>
        <row r="292">
          <cell r="GJ292" t="str">
            <v>Y</v>
          </cell>
        </row>
        <row r="293">
          <cell r="GJ293" t="str">
            <v>Y</v>
          </cell>
        </row>
        <row r="294">
          <cell r="GJ294" t="str">
            <v>Y</v>
          </cell>
        </row>
        <row r="295">
          <cell r="GJ295" t="str">
            <v>Y</v>
          </cell>
        </row>
        <row r="296">
          <cell r="GJ296" t="str">
            <v>Z</v>
          </cell>
        </row>
        <row r="297">
          <cell r="GJ297" t="str">
            <v>Z</v>
          </cell>
        </row>
        <row r="298">
          <cell r="GJ298" t="str">
            <v>Z</v>
          </cell>
        </row>
        <row r="299">
          <cell r="GJ299" t="str">
            <v>Z</v>
          </cell>
        </row>
        <row r="300">
          <cell r="GJ300" t="str">
            <v>Z</v>
          </cell>
        </row>
        <row r="301">
          <cell r="GJ301" t="str">
            <v>Z</v>
          </cell>
        </row>
        <row r="302">
          <cell r="GJ302" t="str">
            <v>Z</v>
          </cell>
        </row>
        <row r="303">
          <cell r="GJ303" t="str">
            <v>Z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rapportering"/>
      <sheetName val="Detaljerad rapport"/>
      <sheetName val="Grövre rapport"/>
      <sheetName val="DB"/>
      <sheetName val="Infoga"/>
    </sheetNames>
    <sheetDataSet>
      <sheetData sheetId="0"/>
      <sheetData sheetId="1">
        <row r="2">
          <cell r="AH2">
            <v>2009</v>
          </cell>
        </row>
        <row r="4">
          <cell r="E4" t="str">
            <v>Stockholm</v>
          </cell>
        </row>
        <row r="5">
          <cell r="E5" t="str">
            <v>Falun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2:AJ99"/>
  <sheetViews>
    <sheetView showGridLines="0" tabSelected="1" showWhiteSpace="0" zoomScaleNormal="100" zoomScalePageLayoutView="90" workbookViewId="0">
      <selection activeCell="C13" sqref="C13"/>
    </sheetView>
  </sheetViews>
  <sheetFormatPr defaultColWidth="9.1796875" defaultRowHeight="12.5" x14ac:dyDescent="0.25"/>
  <cols>
    <col min="1" max="1" width="3" customWidth="1"/>
    <col min="2" max="2" width="2.81640625" customWidth="1"/>
    <col min="3" max="3" width="35.7265625" customWidth="1"/>
    <col min="4" max="4" width="11.81640625" customWidth="1"/>
    <col min="5" max="5" width="2.81640625" customWidth="1"/>
    <col min="6" max="6" width="2" customWidth="1"/>
    <col min="7" max="7" width="2.453125" customWidth="1"/>
    <col min="8" max="8" width="61.54296875" customWidth="1"/>
    <col min="9" max="9" width="2.7265625" customWidth="1"/>
    <col min="10" max="10" width="17.54296875" customWidth="1"/>
    <col min="11" max="11" width="2.26953125" customWidth="1"/>
    <col min="12" max="12" width="2.81640625" customWidth="1"/>
    <col min="13" max="13" width="4.81640625" customWidth="1"/>
    <col min="14" max="14" width="8.26953125" hidden="1" customWidth="1"/>
    <col min="15" max="15" width="4.453125" style="43" customWidth="1"/>
    <col min="16" max="16" width="5.7265625" style="43" bestFit="1" customWidth="1"/>
    <col min="17" max="17" width="13" style="43" customWidth="1"/>
    <col min="18" max="18" width="13.7265625" style="43" customWidth="1"/>
    <col min="19" max="19" width="11.54296875" style="30" customWidth="1"/>
    <col min="20" max="20" width="16" style="30" customWidth="1"/>
    <col min="21" max="21" width="12.54296875" style="30" customWidth="1"/>
    <col min="22" max="22" width="11.81640625" style="43" customWidth="1"/>
    <col min="23" max="23" width="11.453125" style="30" customWidth="1"/>
    <col min="24" max="25" width="11.54296875" style="30" customWidth="1"/>
    <col min="26" max="26" width="11" style="30" customWidth="1"/>
    <col min="27" max="27" width="10.81640625" style="30" customWidth="1"/>
    <col min="28" max="28" width="14.81640625" style="30" customWidth="1"/>
    <col min="29" max="30" width="11.1796875" style="30" customWidth="1"/>
    <col min="31" max="31" width="8.26953125" style="30" customWidth="1"/>
    <col min="32" max="32" width="9.1796875" customWidth="1"/>
  </cols>
  <sheetData>
    <row r="2" spans="2:35" ht="18" x14ac:dyDescent="0.4">
      <c r="G2" s="30"/>
      <c r="I2" s="31"/>
      <c r="O2" s="4" t="s">
        <v>25</v>
      </c>
      <c r="P2" s="6"/>
      <c r="Q2" s="6"/>
      <c r="R2" s="6"/>
      <c r="S2" s="8"/>
      <c r="T2" s="8"/>
      <c r="U2" s="8"/>
      <c r="V2" s="6"/>
      <c r="W2" s="8"/>
      <c r="X2" s="8"/>
      <c r="Y2" s="8"/>
      <c r="Z2" s="8"/>
      <c r="AA2" s="8"/>
      <c r="AB2" s="8"/>
      <c r="AC2" s="8"/>
      <c r="AD2" s="8"/>
      <c r="AE2" s="8"/>
      <c r="AG2" s="4" t="s">
        <v>28</v>
      </c>
    </row>
    <row r="3" spans="2:35" ht="13.5" thickBot="1" x14ac:dyDescent="0.35">
      <c r="I3" s="32"/>
      <c r="O3" s="6"/>
      <c r="P3" s="6"/>
      <c r="Q3" s="6"/>
      <c r="R3" s="6"/>
      <c r="S3" s="8"/>
      <c r="T3" s="8"/>
      <c r="U3" s="8"/>
      <c r="V3" s="3"/>
      <c r="W3" s="3"/>
      <c r="X3" s="3"/>
      <c r="Y3" s="3"/>
      <c r="Z3" s="3"/>
      <c r="AA3" s="3"/>
      <c r="AB3" s="3"/>
      <c r="AC3" s="3" t="s">
        <v>59</v>
      </c>
      <c r="AD3" s="3" t="s">
        <v>58</v>
      </c>
      <c r="AE3" s="8"/>
    </row>
    <row r="4" spans="2:35" ht="33.5" thickBot="1" x14ac:dyDescent="0.45">
      <c r="B4" s="33" t="s">
        <v>56</v>
      </c>
      <c r="C4" s="4"/>
      <c r="D4" s="1"/>
      <c r="E4" s="1"/>
      <c r="G4" s="7" t="s">
        <v>57</v>
      </c>
      <c r="J4" s="1"/>
      <c r="K4" s="1"/>
      <c r="L4" s="1"/>
      <c r="M4" s="1"/>
      <c r="N4" s="1"/>
      <c r="O4" s="45"/>
      <c r="P4" s="109"/>
      <c r="Q4" s="110" t="s">
        <v>2</v>
      </c>
      <c r="R4" s="110" t="s">
        <v>40</v>
      </c>
      <c r="S4" s="111" t="s">
        <v>41</v>
      </c>
      <c r="T4" s="110" t="s">
        <v>29</v>
      </c>
      <c r="U4" s="110" t="s">
        <v>39</v>
      </c>
      <c r="V4" s="112" t="s">
        <v>26</v>
      </c>
      <c r="W4" s="112" t="s">
        <v>30</v>
      </c>
      <c r="X4" s="112" t="s">
        <v>31</v>
      </c>
      <c r="Y4" s="112" t="s">
        <v>33</v>
      </c>
      <c r="Z4" s="112" t="s">
        <v>32</v>
      </c>
      <c r="AA4" s="112" t="s">
        <v>34</v>
      </c>
      <c r="AB4" s="112" t="s">
        <v>35</v>
      </c>
      <c r="AC4" s="113" t="s">
        <v>36</v>
      </c>
      <c r="AD4" s="113" t="s">
        <v>38</v>
      </c>
      <c r="AE4" s="114" t="s">
        <v>37</v>
      </c>
      <c r="AF4" s="1"/>
      <c r="AG4" s="1"/>
      <c r="AH4" s="1"/>
      <c r="AI4" s="1"/>
    </row>
    <row r="5" spans="2:35" ht="25.5" customHeight="1" x14ac:dyDescent="0.4">
      <c r="B5" s="12"/>
      <c r="C5" s="13" t="s">
        <v>22</v>
      </c>
      <c r="D5" s="14"/>
      <c r="E5" s="15"/>
      <c r="F5" s="1"/>
      <c r="G5" s="73"/>
      <c r="H5" s="74" t="s">
        <v>5</v>
      </c>
      <c r="I5" s="75"/>
      <c r="J5" s="75"/>
      <c r="K5" s="75"/>
      <c r="L5" s="76"/>
      <c r="M5" s="1"/>
      <c r="N5" s="1"/>
      <c r="O5" s="55" t="s">
        <v>44</v>
      </c>
      <c r="P5" s="49"/>
      <c r="Q5" s="50"/>
      <c r="R5" s="51"/>
      <c r="S5" s="52"/>
      <c r="T5" s="52"/>
      <c r="U5" s="52"/>
      <c r="V5" s="53">
        <f>SUM(V6:V65)</f>
        <v>701393.19364609697</v>
      </c>
      <c r="W5" s="53">
        <f>SUM(W6:W77)</f>
        <v>224762.8377688097</v>
      </c>
      <c r="X5" s="53">
        <f t="shared" ref="X5:AE5" si="0">SUM(X6:X65)</f>
        <v>44952.567553761961</v>
      </c>
      <c r="Y5" s="53">
        <f t="shared" si="0"/>
        <v>0</v>
      </c>
      <c r="Z5" s="53">
        <f t="shared" si="0"/>
        <v>0</v>
      </c>
      <c r="AA5" s="53">
        <f t="shared" si="0"/>
        <v>0</v>
      </c>
      <c r="AB5" s="53">
        <f t="shared" si="0"/>
        <v>269715.40532257169</v>
      </c>
      <c r="AC5" s="108">
        <f t="shared" si="0"/>
        <v>186787.43961352657</v>
      </c>
      <c r="AD5" s="53">
        <f t="shared" si="0"/>
        <v>40874.770408331453</v>
      </c>
      <c r="AE5" s="54">
        <f t="shared" si="0"/>
        <v>15941.830336404782</v>
      </c>
      <c r="AF5" s="1"/>
      <c r="AG5" s="1"/>
      <c r="AH5" s="1"/>
      <c r="AI5" s="1"/>
    </row>
    <row r="6" spans="2:35" x14ac:dyDescent="0.25">
      <c r="B6" s="16"/>
      <c r="C6" s="23"/>
      <c r="D6" s="23"/>
      <c r="E6" s="21"/>
      <c r="F6" s="8"/>
      <c r="G6" s="77"/>
      <c r="H6" s="78"/>
      <c r="I6" s="78"/>
      <c r="J6" s="78"/>
      <c r="K6" s="78"/>
      <c r="L6" s="79"/>
      <c r="M6" s="1"/>
      <c r="N6" s="6"/>
      <c r="O6" s="46">
        <v>0</v>
      </c>
      <c r="P6" s="42">
        <f t="shared" ref="P6:P37" si="1">Trafikstartår+O6</f>
        <v>2028</v>
      </c>
      <c r="Q6" s="28">
        <f>($D$9)^-($D$12-$D$10+O6)</f>
        <v>1</v>
      </c>
      <c r="R6" s="26">
        <f t="shared" ref="R6:R37" si="2">IF(P6&lt;=$D$15,($D$17)^-($D$12-($D$12+O6)),IF(AND(P6&gt;$D$15,P6&lt;=$D$13),$R$21*$D$18^-($D$12-($D$12+(O6-15))),$R$46))</f>
        <v>1</v>
      </c>
      <c r="S6" s="26">
        <f>IF(P6&lt;=D19,($D$14)^((Diskonteringsår-$D$11)+O6),($D$14)^((Diskonteringsår-$D$11)+$O$46))</f>
        <v>1.1083909827862339</v>
      </c>
      <c r="T6" s="26">
        <f>IF(O6&lt;(KALKYLPERIOD),R6*Q6,0)</f>
        <v>1</v>
      </c>
      <c r="U6" s="26">
        <f>S6*T6</f>
        <v>1.1083909827862339</v>
      </c>
      <c r="V6" s="29">
        <f t="shared" ref="V6:V42" si="3">IF(P6&lt;D$19,$D$31*R6*S6,0)</f>
        <v>6650.3458967174038</v>
      </c>
      <c r="W6" s="29">
        <f>U6*D$21*D$22</f>
        <v>5541.9549139311694</v>
      </c>
      <c r="X6" s="29">
        <f t="shared" ref="X6:X37" si="4">U6*D$23*D$24</f>
        <v>1108.390982786234</v>
      </c>
      <c r="Y6" s="29">
        <f t="shared" ref="Y6:Y37" si="5">U6*D$25*D$26</f>
        <v>0</v>
      </c>
      <c r="Z6" s="29">
        <f t="shared" ref="Z6:Z37" si="6">U6*D$27*D$28</f>
        <v>0</v>
      </c>
      <c r="AA6" s="29">
        <f t="shared" ref="AA6:AA37" si="7">T6*D$29*D$30</f>
        <v>0</v>
      </c>
      <c r="AB6" s="29">
        <f>SUM(W6:AA6)</f>
        <v>6650.3458967174029</v>
      </c>
      <c r="AC6" s="29">
        <f>D37*Q6</f>
        <v>95000</v>
      </c>
      <c r="AD6" s="29">
        <f>IF(O6&lt;KALKYLPERIOD,$D$34,0)</f>
        <v>500</v>
      </c>
      <c r="AE6" s="47">
        <f>AD6*Q6</f>
        <v>500</v>
      </c>
      <c r="AF6" s="1"/>
      <c r="AG6" s="1"/>
      <c r="AH6" s="1"/>
      <c r="AI6" s="1"/>
    </row>
    <row r="7" spans="2:35" ht="13.5" thickBot="1" x14ac:dyDescent="0.35">
      <c r="B7" s="16"/>
      <c r="C7" s="17" t="s">
        <v>1</v>
      </c>
      <c r="D7" s="18"/>
      <c r="E7" s="19"/>
      <c r="F7" s="1"/>
      <c r="G7" s="77"/>
      <c r="H7" s="80" t="s">
        <v>3</v>
      </c>
      <c r="I7" s="81"/>
      <c r="J7" s="81">
        <f>V5</f>
        <v>701393.19364609697</v>
      </c>
      <c r="K7" s="82"/>
      <c r="L7" s="79"/>
      <c r="M7" s="1"/>
      <c r="N7" s="10"/>
      <c r="O7" s="46">
        <v>1</v>
      </c>
      <c r="P7" s="42">
        <f t="shared" si="1"/>
        <v>2029</v>
      </c>
      <c r="Q7" s="28">
        <f>($D$9)^-($D$12-$D$10+O7)</f>
        <v>0.96618357487922713</v>
      </c>
      <c r="R7" s="26">
        <f t="shared" si="2"/>
        <v>1.01</v>
      </c>
      <c r="S7" s="26">
        <f t="shared" ref="S7:S42" si="8">($D$14)^((Diskonteringsår-$D$11)+O7)</f>
        <v>1.1211374790882758</v>
      </c>
      <c r="T7" s="26">
        <f>IF(O7&lt;(KALKYLPERIOD),R7*Q7,0)</f>
        <v>0.97584541062801944</v>
      </c>
      <c r="U7" s="26">
        <f>S7*T7</f>
        <v>1.094056863651361</v>
      </c>
      <c r="V7" s="29">
        <f t="shared" si="3"/>
        <v>6794.0931232749508</v>
      </c>
      <c r="W7" s="29">
        <f t="shared" ref="W7:W37" si="9">U7*D$21*D$22</f>
        <v>5470.2843182568049</v>
      </c>
      <c r="X7" s="29">
        <f t="shared" si="4"/>
        <v>1094.056863651361</v>
      </c>
      <c r="Y7" s="29">
        <f t="shared" si="5"/>
        <v>0</v>
      </c>
      <c r="Z7" s="29">
        <f t="shared" si="6"/>
        <v>0</v>
      </c>
      <c r="AA7" s="29">
        <f t="shared" si="7"/>
        <v>0</v>
      </c>
      <c r="AB7" s="29">
        <f t="shared" ref="AB7:AB65" si="10">SUM(W7:AA7)</f>
        <v>6564.3411819081657</v>
      </c>
      <c r="AC7" s="29">
        <f t="shared" ref="AC7:AC11" si="11">D38*Q7</f>
        <v>91787.439613526571</v>
      </c>
      <c r="AD7" s="29">
        <f>IF(O7&lt;KALKYLPERIOD,$D$34,0)*1.011</f>
        <v>505.49999999999994</v>
      </c>
      <c r="AE7" s="47">
        <f t="shared" ref="AE7:AE65" si="12">AD7*Q7</f>
        <v>488.40579710144925</v>
      </c>
      <c r="AF7" s="1"/>
      <c r="AG7" s="1"/>
      <c r="AH7" s="1"/>
      <c r="AI7" s="1"/>
    </row>
    <row r="8" spans="2:35" ht="13" x14ac:dyDescent="0.3">
      <c r="B8" s="12"/>
      <c r="C8" s="102" t="s">
        <v>53</v>
      </c>
      <c r="D8" s="103">
        <v>1.2</v>
      </c>
      <c r="E8" s="15"/>
      <c r="F8" s="1"/>
      <c r="G8" s="77"/>
      <c r="H8" s="80" t="s">
        <v>4</v>
      </c>
      <c r="I8" s="81"/>
      <c r="J8" s="81">
        <f>AB5</f>
        <v>269715.40532257169</v>
      </c>
      <c r="K8" s="82"/>
      <c r="L8" s="79"/>
      <c r="M8" s="1"/>
      <c r="N8" s="10"/>
      <c r="O8" s="46">
        <v>2</v>
      </c>
      <c r="P8" s="42">
        <f t="shared" si="1"/>
        <v>2030</v>
      </c>
      <c r="Q8" s="28">
        <f t="shared" ref="Q8:Q37" si="13">($D$9)^-($D$12-$D$10+O8)</f>
        <v>0.93351070036640305</v>
      </c>
      <c r="R8" s="26">
        <f t="shared" si="2"/>
        <v>1.0201</v>
      </c>
      <c r="S8" s="26">
        <f t="shared" si="8"/>
        <v>1.1340305600977909</v>
      </c>
      <c r="T8" s="26">
        <f t="shared" ref="T8:T37" si="14">IF(O8&lt;(KALKYLPERIOD),R8*Q8,0)</f>
        <v>0.9522742654437677</v>
      </c>
      <c r="U8" s="26">
        <f t="shared" ref="U8:U65" si="15">S8*T8</f>
        <v>1.0799081186079083</v>
      </c>
      <c r="V8" s="29">
        <f t="shared" si="3"/>
        <v>6940.9474461345399</v>
      </c>
      <c r="W8" s="29">
        <f t="shared" si="9"/>
        <v>5399.5405930395409</v>
      </c>
      <c r="X8" s="29">
        <f t="shared" si="4"/>
        <v>1079.9081186079084</v>
      </c>
      <c r="Y8" s="29">
        <f t="shared" si="5"/>
        <v>0</v>
      </c>
      <c r="Z8" s="29">
        <f t="shared" si="6"/>
        <v>0</v>
      </c>
      <c r="AA8" s="29">
        <f t="shared" si="7"/>
        <v>0</v>
      </c>
      <c r="AB8" s="29">
        <f t="shared" si="10"/>
        <v>6479.4487116474493</v>
      </c>
      <c r="AC8" s="29">
        <f t="shared" si="11"/>
        <v>0</v>
      </c>
      <c r="AD8" s="29">
        <f>AD7*1.01</f>
        <v>510.55499999999995</v>
      </c>
      <c r="AE8" s="47">
        <f t="shared" si="12"/>
        <v>476.60855562556884</v>
      </c>
      <c r="AF8" s="1"/>
      <c r="AG8" s="1"/>
      <c r="AH8" s="1"/>
      <c r="AI8" s="1"/>
    </row>
    <row r="9" spans="2:35" ht="13" x14ac:dyDescent="0.3">
      <c r="B9" s="16"/>
      <c r="C9" s="69" t="s">
        <v>6</v>
      </c>
      <c r="D9" s="104">
        <v>1.0349999999999999</v>
      </c>
      <c r="E9" s="21"/>
      <c r="F9" s="1"/>
      <c r="G9" s="77"/>
      <c r="H9" s="83"/>
      <c r="I9" s="83"/>
      <c r="J9" s="83"/>
      <c r="K9" s="84"/>
      <c r="L9" s="79"/>
      <c r="M9" s="1"/>
      <c r="N9" s="10"/>
      <c r="O9" s="46">
        <v>3</v>
      </c>
      <c r="P9" s="42">
        <f t="shared" si="1"/>
        <v>2031</v>
      </c>
      <c r="Q9" s="28">
        <f t="shared" si="13"/>
        <v>0.90194270566802237</v>
      </c>
      <c r="R9" s="26">
        <f t="shared" si="2"/>
        <v>1.0303009999999999</v>
      </c>
      <c r="S9" s="26">
        <f t="shared" si="8"/>
        <v>1.1470719115389156</v>
      </c>
      <c r="T9" s="26">
        <f t="shared" si="14"/>
        <v>0.92927247159246906</v>
      </c>
      <c r="U9" s="26">
        <f t="shared" si="15"/>
        <v>1.0659423503300662</v>
      </c>
      <c r="V9" s="29">
        <f t="shared" si="3"/>
        <v>7090.9760251827374</v>
      </c>
      <c r="W9" s="29">
        <f t="shared" si="9"/>
        <v>5329.7117516503313</v>
      </c>
      <c r="X9" s="29">
        <f t="shared" si="4"/>
        <v>1065.9423503300663</v>
      </c>
      <c r="Y9" s="29">
        <f t="shared" si="5"/>
        <v>0</v>
      </c>
      <c r="Z9" s="29">
        <f t="shared" si="6"/>
        <v>0</v>
      </c>
      <c r="AA9" s="29">
        <f t="shared" si="7"/>
        <v>0</v>
      </c>
      <c r="AB9" s="29">
        <f t="shared" si="10"/>
        <v>6395.6541019803972</v>
      </c>
      <c r="AC9" s="29">
        <f t="shared" si="11"/>
        <v>0</v>
      </c>
      <c r="AD9" s="29">
        <f t="shared" ref="AD9:AD65" si="16">AD8*1.01</f>
        <v>515.66054999999994</v>
      </c>
      <c r="AE9" s="47">
        <f t="shared" si="12"/>
        <v>465.0962716732605</v>
      </c>
      <c r="AF9" s="1"/>
      <c r="AG9" s="1"/>
      <c r="AH9" s="1"/>
      <c r="AI9" s="1"/>
    </row>
    <row r="10" spans="2:35" ht="13" x14ac:dyDescent="0.3">
      <c r="B10" s="16"/>
      <c r="C10" s="69" t="s">
        <v>0</v>
      </c>
      <c r="D10" s="104">
        <v>2028</v>
      </c>
      <c r="E10" s="21"/>
      <c r="F10" s="1"/>
      <c r="G10" s="77"/>
      <c r="H10" s="93" t="s">
        <v>55</v>
      </c>
      <c r="I10" s="81"/>
      <c r="J10" s="81">
        <f>AC5*D8</f>
        <v>224144.92753623187</v>
      </c>
      <c r="K10" s="80"/>
      <c r="L10" s="79"/>
      <c r="M10" s="1"/>
      <c r="N10" s="10"/>
      <c r="O10" s="46">
        <v>4</v>
      </c>
      <c r="P10" s="42">
        <f t="shared" si="1"/>
        <v>2032</v>
      </c>
      <c r="Q10" s="28">
        <f t="shared" si="13"/>
        <v>0.87144222769857238</v>
      </c>
      <c r="R10" s="26">
        <f t="shared" si="2"/>
        <v>1.04060401</v>
      </c>
      <c r="S10" s="26">
        <f t="shared" si="8"/>
        <v>1.1602632385216132</v>
      </c>
      <c r="T10" s="26">
        <f t="shared" si="14"/>
        <v>0.90682627662646753</v>
      </c>
      <c r="U10" s="26">
        <f t="shared" si="15"/>
        <v>1.0521571924951214</v>
      </c>
      <c r="V10" s="29">
        <f t="shared" si="3"/>
        <v>7244.2474719670627</v>
      </c>
      <c r="W10" s="29">
        <f t="shared" si="9"/>
        <v>5260.7859624756074</v>
      </c>
      <c r="X10" s="29">
        <f t="shared" si="4"/>
        <v>1052.1571924951213</v>
      </c>
      <c r="Y10" s="29">
        <f t="shared" si="5"/>
        <v>0</v>
      </c>
      <c r="Z10" s="29">
        <f t="shared" si="6"/>
        <v>0</v>
      </c>
      <c r="AA10" s="29">
        <f t="shared" si="7"/>
        <v>0</v>
      </c>
      <c r="AB10" s="29">
        <f t="shared" si="10"/>
        <v>6312.9431549707288</v>
      </c>
      <c r="AC10" s="29">
        <f t="shared" si="11"/>
        <v>0</v>
      </c>
      <c r="AD10" s="29">
        <f t="shared" si="16"/>
        <v>520.8171554999999</v>
      </c>
      <c r="AE10" s="47">
        <f t="shared" si="12"/>
        <v>453.86206221255367</v>
      </c>
      <c r="AF10" s="1"/>
      <c r="AG10" s="1"/>
      <c r="AH10" s="1"/>
      <c r="AI10" s="1"/>
    </row>
    <row r="11" spans="2:35" ht="13" x14ac:dyDescent="0.3">
      <c r="B11" s="16"/>
      <c r="C11" s="69" t="s">
        <v>23</v>
      </c>
      <c r="D11" s="104">
        <v>2019</v>
      </c>
      <c r="E11" s="21"/>
      <c r="F11" s="1"/>
      <c r="G11" s="77"/>
      <c r="H11" s="93" t="s">
        <v>54</v>
      </c>
      <c r="I11" s="81"/>
      <c r="J11" s="81">
        <f>AC5</f>
        <v>186787.43961352657</v>
      </c>
      <c r="K11" s="80"/>
      <c r="L11" s="79"/>
      <c r="M11" s="1"/>
      <c r="N11" s="10"/>
      <c r="O11" s="46">
        <v>5</v>
      </c>
      <c r="P11" s="42">
        <f t="shared" si="1"/>
        <v>2033</v>
      </c>
      <c r="Q11" s="28">
        <f t="shared" si="13"/>
        <v>0.84197316685852419</v>
      </c>
      <c r="R11" s="26">
        <f t="shared" si="2"/>
        <v>1.0510100500999999</v>
      </c>
      <c r="S11" s="26">
        <f t="shared" si="8"/>
        <v>1.1736062657646118</v>
      </c>
      <c r="T11" s="26">
        <f t="shared" si="14"/>
        <v>0.88492226028283316</v>
      </c>
      <c r="U11" s="26">
        <f t="shared" si="15"/>
        <v>1.0385503093825157</v>
      </c>
      <c r="V11" s="29">
        <f t="shared" si="3"/>
        <v>7400.83188107363</v>
      </c>
      <c r="W11" s="29">
        <f t="shared" si="9"/>
        <v>5192.7515469125783</v>
      </c>
      <c r="X11" s="29">
        <f t="shared" si="4"/>
        <v>1038.5503093825157</v>
      </c>
      <c r="Y11" s="29">
        <f t="shared" si="5"/>
        <v>0</v>
      </c>
      <c r="Z11" s="29">
        <f t="shared" si="6"/>
        <v>0</v>
      </c>
      <c r="AA11" s="29">
        <f t="shared" si="7"/>
        <v>0</v>
      </c>
      <c r="AB11" s="29">
        <f t="shared" si="10"/>
        <v>6231.3018562950938</v>
      </c>
      <c r="AC11" s="29">
        <f t="shared" si="11"/>
        <v>0</v>
      </c>
      <c r="AD11" s="29">
        <f t="shared" si="16"/>
        <v>526.02532705499993</v>
      </c>
      <c r="AE11" s="47">
        <f t="shared" si="12"/>
        <v>442.8992104682892</v>
      </c>
      <c r="AF11" s="1"/>
      <c r="AG11" s="1"/>
      <c r="AH11" s="1"/>
      <c r="AI11" s="1"/>
    </row>
    <row r="12" spans="2:35" ht="13.5" customHeight="1" x14ac:dyDescent="0.3">
      <c r="B12" s="16"/>
      <c r="C12" s="126" t="s">
        <v>24</v>
      </c>
      <c r="D12" s="127">
        <v>2028</v>
      </c>
      <c r="E12" s="21"/>
      <c r="F12" s="1"/>
      <c r="G12" s="77"/>
      <c r="H12" s="80" t="s">
        <v>51</v>
      </c>
      <c r="I12" s="81"/>
      <c r="J12" s="81">
        <f>AE5*D8</f>
        <v>19130.196403685739</v>
      </c>
      <c r="K12" s="80"/>
      <c r="L12" s="79"/>
      <c r="M12" s="1"/>
      <c r="N12" s="10"/>
      <c r="O12" s="46">
        <v>6</v>
      </c>
      <c r="P12" s="42">
        <f t="shared" si="1"/>
        <v>2034</v>
      </c>
      <c r="Q12" s="28">
        <f t="shared" si="13"/>
        <v>0.81350064430775282</v>
      </c>
      <c r="R12" s="26">
        <f t="shared" si="2"/>
        <v>1.0615201506010001</v>
      </c>
      <c r="S12" s="26">
        <f t="shared" si="8"/>
        <v>1.1871027378209051</v>
      </c>
      <c r="T12" s="26">
        <f t="shared" si="14"/>
        <v>0.86354732645957644</v>
      </c>
      <c r="U12" s="26">
        <f t="shared" si="15"/>
        <v>1.0251193954780862</v>
      </c>
      <c r="V12" s="29">
        <f t="shared" si="3"/>
        <v>7560.8008621830413</v>
      </c>
      <c r="W12" s="29">
        <f t="shared" si="9"/>
        <v>5125.5969773904308</v>
      </c>
      <c r="X12" s="29">
        <f t="shared" si="4"/>
        <v>1025.1193954780861</v>
      </c>
      <c r="Y12" s="29">
        <f t="shared" si="5"/>
        <v>0</v>
      </c>
      <c r="Z12" s="29">
        <f t="shared" si="6"/>
        <v>0</v>
      </c>
      <c r="AA12" s="29">
        <f t="shared" si="7"/>
        <v>0</v>
      </c>
      <c r="AB12" s="29">
        <f t="shared" si="10"/>
        <v>6150.7163728685173</v>
      </c>
      <c r="AC12" s="29">
        <f t="shared" ref="AC12:AC43" si="17">D53*Q12</f>
        <v>0</v>
      </c>
      <c r="AD12" s="29">
        <f t="shared" si="16"/>
        <v>531.28558032554997</v>
      </c>
      <c r="AE12" s="47">
        <f t="shared" si="12"/>
        <v>432.20116190625328</v>
      </c>
      <c r="AF12" s="1"/>
      <c r="AG12" s="1"/>
      <c r="AH12" s="1"/>
      <c r="AI12" s="1"/>
    </row>
    <row r="13" spans="2:35" ht="13" x14ac:dyDescent="0.3">
      <c r="B13" s="16"/>
      <c r="C13" s="69"/>
      <c r="D13" s="104">
        <f>D12+D16</f>
        <v>2088</v>
      </c>
      <c r="E13" s="21"/>
      <c r="F13" s="1"/>
      <c r="G13" s="77"/>
      <c r="H13" s="80" t="s">
        <v>52</v>
      </c>
      <c r="I13" s="78"/>
      <c r="J13" s="95">
        <f>AE5</f>
        <v>15941.830336404782</v>
      </c>
      <c r="K13" s="83"/>
      <c r="L13" s="79"/>
      <c r="M13" s="1"/>
      <c r="N13" s="10"/>
      <c r="O13" s="46">
        <v>7</v>
      </c>
      <c r="P13" s="42">
        <f t="shared" si="1"/>
        <v>2035</v>
      </c>
      <c r="Q13" s="28">
        <f t="shared" si="13"/>
        <v>0.78599096068381913</v>
      </c>
      <c r="R13" s="26">
        <f t="shared" si="2"/>
        <v>1.0721353521070098</v>
      </c>
      <c r="S13" s="26">
        <f t="shared" si="8"/>
        <v>1.2007544193058457</v>
      </c>
      <c r="T13" s="26">
        <f t="shared" si="14"/>
        <v>0.84268869538567337</v>
      </c>
      <c r="U13" s="26">
        <f t="shared" si="15"/>
        <v>1.0118621750834249</v>
      </c>
      <c r="V13" s="29">
        <f t="shared" si="3"/>
        <v>7724.2275728191262</v>
      </c>
      <c r="W13" s="29">
        <f t="shared" si="9"/>
        <v>5059.3108754171244</v>
      </c>
      <c r="X13" s="29">
        <f t="shared" si="4"/>
        <v>1011.8621750834249</v>
      </c>
      <c r="Y13" s="29">
        <f t="shared" si="5"/>
        <v>0</v>
      </c>
      <c r="Z13" s="29">
        <f t="shared" si="6"/>
        <v>0</v>
      </c>
      <c r="AA13" s="29">
        <f t="shared" si="7"/>
        <v>0</v>
      </c>
      <c r="AB13" s="29">
        <f t="shared" si="10"/>
        <v>6071.1730505005489</v>
      </c>
      <c r="AC13" s="29">
        <f t="shared" si="17"/>
        <v>0</v>
      </c>
      <c r="AD13" s="29">
        <f t="shared" si="16"/>
        <v>536.59843612880547</v>
      </c>
      <c r="AE13" s="47">
        <f t="shared" si="12"/>
        <v>421.76152031431479</v>
      </c>
      <c r="AF13" s="1"/>
      <c r="AG13" s="1"/>
      <c r="AH13" s="1"/>
      <c r="AI13" s="1"/>
    </row>
    <row r="14" spans="2:35" ht="13" x14ac:dyDescent="0.3">
      <c r="B14" s="16"/>
      <c r="C14" s="69" t="s">
        <v>12</v>
      </c>
      <c r="D14" s="104">
        <v>1.0115000000000001</v>
      </c>
      <c r="E14" s="21"/>
      <c r="F14" s="1"/>
      <c r="G14" s="77"/>
      <c r="H14" s="85" t="s">
        <v>20</v>
      </c>
      <c r="I14" s="81"/>
      <c r="J14" s="81">
        <f>J8-(J10+J12)</f>
        <v>26440.281382654095</v>
      </c>
      <c r="K14" s="86"/>
      <c r="L14" s="79"/>
      <c r="M14" s="1"/>
      <c r="N14" s="10"/>
      <c r="O14" s="46">
        <v>8</v>
      </c>
      <c r="P14" s="42">
        <f t="shared" si="1"/>
        <v>2036</v>
      </c>
      <c r="Q14" s="28">
        <f t="shared" si="13"/>
        <v>0.75941155621625056</v>
      </c>
      <c r="R14" s="26">
        <f t="shared" si="2"/>
        <v>1.0828567056280802</v>
      </c>
      <c r="S14" s="26">
        <f t="shared" si="8"/>
        <v>1.214563095127863</v>
      </c>
      <c r="T14" s="26">
        <f t="shared" si="14"/>
        <v>0.82233389598022277</v>
      </c>
      <c r="U14" s="26">
        <f t="shared" si="15"/>
        <v>0.99877640193029349</v>
      </c>
      <c r="V14" s="29">
        <f t="shared" si="3"/>
        <v>7891.1867518056142</v>
      </c>
      <c r="W14" s="29">
        <f t="shared" si="9"/>
        <v>4993.8820096514673</v>
      </c>
      <c r="X14" s="29">
        <f t="shared" si="4"/>
        <v>998.77640193029345</v>
      </c>
      <c r="Y14" s="29">
        <f t="shared" si="5"/>
        <v>0</v>
      </c>
      <c r="Z14" s="29">
        <f t="shared" si="6"/>
        <v>0</v>
      </c>
      <c r="AA14" s="29">
        <f t="shared" si="7"/>
        <v>0</v>
      </c>
      <c r="AB14" s="29">
        <f t="shared" si="10"/>
        <v>5992.6584115817604</v>
      </c>
      <c r="AC14" s="29">
        <f t="shared" si="17"/>
        <v>0</v>
      </c>
      <c r="AD14" s="29">
        <f t="shared" si="16"/>
        <v>541.96442049009352</v>
      </c>
      <c r="AE14" s="47">
        <f t="shared" si="12"/>
        <v>411.57404397822029</v>
      </c>
      <c r="AF14" s="1"/>
      <c r="AG14" s="1"/>
      <c r="AH14" s="1"/>
      <c r="AI14" s="1"/>
    </row>
    <row r="15" spans="2:35" ht="13" x14ac:dyDescent="0.3">
      <c r="B15" s="16"/>
      <c r="C15" s="69" t="s">
        <v>47</v>
      </c>
      <c r="D15" s="104">
        <v>2045</v>
      </c>
      <c r="E15" s="21"/>
      <c r="F15" s="1"/>
      <c r="G15" s="77"/>
      <c r="H15" s="80" t="s">
        <v>43</v>
      </c>
      <c r="I15" s="87"/>
      <c r="J15" s="87">
        <f>J14/(J11+J13)</f>
        <v>0.13042162776585803</v>
      </c>
      <c r="K15" s="86"/>
      <c r="L15" s="79"/>
      <c r="M15" s="1"/>
      <c r="N15" s="10"/>
      <c r="O15" s="46">
        <v>9</v>
      </c>
      <c r="P15" s="42">
        <f t="shared" si="1"/>
        <v>2037</v>
      </c>
      <c r="Q15" s="28">
        <f t="shared" si="13"/>
        <v>0.73373097218961414</v>
      </c>
      <c r="R15" s="26">
        <f t="shared" si="2"/>
        <v>1.0936852726843611</v>
      </c>
      <c r="S15" s="26">
        <f t="shared" si="8"/>
        <v>1.2285305707218335</v>
      </c>
      <c r="T15" s="26">
        <f t="shared" si="14"/>
        <v>0.80247075839615956</v>
      </c>
      <c r="U15" s="26">
        <f t="shared" si="15"/>
        <v>0.98585985880001648</v>
      </c>
      <c r="V15" s="29">
        <f t="shared" si="3"/>
        <v>8061.7547534458936</v>
      </c>
      <c r="W15" s="29">
        <f t="shared" si="9"/>
        <v>4929.2992940000822</v>
      </c>
      <c r="X15" s="29">
        <f t="shared" si="4"/>
        <v>985.85985880001647</v>
      </c>
      <c r="Y15" s="29">
        <f t="shared" si="5"/>
        <v>0</v>
      </c>
      <c r="Z15" s="29">
        <f t="shared" si="6"/>
        <v>0</v>
      </c>
      <c r="AA15" s="29">
        <f t="shared" si="7"/>
        <v>0</v>
      </c>
      <c r="AB15" s="29">
        <f t="shared" si="10"/>
        <v>5915.159152800099</v>
      </c>
      <c r="AC15" s="29">
        <f t="shared" si="17"/>
        <v>0</v>
      </c>
      <c r="AD15" s="29">
        <f t="shared" si="16"/>
        <v>547.38406469499444</v>
      </c>
      <c r="AE15" s="47">
        <f t="shared" si="12"/>
        <v>401.63264194976091</v>
      </c>
      <c r="AF15" s="1"/>
      <c r="AG15" s="1"/>
      <c r="AH15" s="1"/>
      <c r="AI15" s="1"/>
    </row>
    <row r="16" spans="2:35" ht="13.5" thickBot="1" x14ac:dyDescent="0.35">
      <c r="B16" s="16"/>
      <c r="C16" s="69" t="s">
        <v>42</v>
      </c>
      <c r="D16" s="70">
        <v>60</v>
      </c>
      <c r="E16" s="21"/>
      <c r="F16" s="1"/>
      <c r="G16" s="88"/>
      <c r="H16" s="89" t="s">
        <v>50</v>
      </c>
      <c r="I16" s="90"/>
      <c r="J16" s="90">
        <f>J15+1</f>
        <v>1.1304216277658581</v>
      </c>
      <c r="K16" s="91"/>
      <c r="L16" s="92"/>
      <c r="M16" s="1"/>
      <c r="N16" s="10"/>
      <c r="O16" s="46">
        <v>10</v>
      </c>
      <c r="P16" s="42">
        <f t="shared" si="1"/>
        <v>2038</v>
      </c>
      <c r="Q16" s="28">
        <f t="shared" si="13"/>
        <v>0.70891881370977217</v>
      </c>
      <c r="R16" s="26">
        <f t="shared" si="2"/>
        <v>1.1046221254112047</v>
      </c>
      <c r="S16" s="26">
        <f t="shared" si="8"/>
        <v>1.2426586722851347</v>
      </c>
      <c r="T16" s="26">
        <f t="shared" si="14"/>
        <v>0.7830874067440784</v>
      </c>
      <c r="U16" s="26">
        <f t="shared" si="15"/>
        <v>0.97311035714780569</v>
      </c>
      <c r="V16" s="29">
        <f t="shared" si="3"/>
        <v>8236.0095824416276</v>
      </c>
      <c r="W16" s="29">
        <f t="shared" si="9"/>
        <v>4865.5517857390287</v>
      </c>
      <c r="X16" s="29">
        <f t="shared" si="4"/>
        <v>973.11035714780564</v>
      </c>
      <c r="Y16" s="29">
        <f t="shared" si="5"/>
        <v>0</v>
      </c>
      <c r="Z16" s="29">
        <f t="shared" si="6"/>
        <v>0</v>
      </c>
      <c r="AA16" s="29">
        <f t="shared" si="7"/>
        <v>0</v>
      </c>
      <c r="AB16" s="29">
        <f t="shared" si="10"/>
        <v>5838.6621428868348</v>
      </c>
      <c r="AC16" s="29">
        <f t="shared" si="17"/>
        <v>0</v>
      </c>
      <c r="AD16" s="29">
        <f t="shared" si="16"/>
        <v>552.85790534194439</v>
      </c>
      <c r="AE16" s="47">
        <f t="shared" si="12"/>
        <v>391.93137040508071</v>
      </c>
      <c r="AF16" s="1"/>
      <c r="AG16" s="1"/>
      <c r="AH16" s="1"/>
      <c r="AI16" s="1"/>
    </row>
    <row r="17" spans="2:35" ht="15" x14ac:dyDescent="0.3">
      <c r="B17" s="16"/>
      <c r="C17" s="69" t="s">
        <v>45</v>
      </c>
      <c r="D17" s="71">
        <v>1.01</v>
      </c>
      <c r="E17" s="21"/>
      <c r="F17" s="1"/>
      <c r="G17" s="97"/>
      <c r="H17" s="105"/>
      <c r="I17" s="97"/>
      <c r="J17" s="97"/>
      <c r="K17" s="97"/>
      <c r="L17" s="97"/>
      <c r="M17" s="1"/>
      <c r="N17" s="10"/>
      <c r="O17" s="46">
        <v>11</v>
      </c>
      <c r="P17" s="42">
        <f t="shared" si="1"/>
        <v>2039</v>
      </c>
      <c r="Q17" s="28">
        <f t="shared" si="13"/>
        <v>0.68494571372924851</v>
      </c>
      <c r="R17" s="26">
        <f t="shared" si="2"/>
        <v>1.1156683466653166</v>
      </c>
      <c r="S17" s="26">
        <f t="shared" si="8"/>
        <v>1.2569492470164139</v>
      </c>
      <c r="T17" s="26">
        <f t="shared" si="14"/>
        <v>0.76417225199180594</v>
      </c>
      <c r="U17" s="26">
        <f t="shared" si="15"/>
        <v>0.96052573673193775</v>
      </c>
      <c r="V17" s="29">
        <f t="shared" si="3"/>
        <v>8414.0309295661027</v>
      </c>
      <c r="W17" s="29">
        <f t="shared" si="9"/>
        <v>4802.6286836596892</v>
      </c>
      <c r="X17" s="29">
        <f t="shared" si="4"/>
        <v>960.52573673193774</v>
      </c>
      <c r="Y17" s="29">
        <f t="shared" si="5"/>
        <v>0</v>
      </c>
      <c r="Z17" s="29">
        <f t="shared" si="6"/>
        <v>0</v>
      </c>
      <c r="AA17" s="29">
        <f t="shared" si="7"/>
        <v>0</v>
      </c>
      <c r="AB17" s="29">
        <f t="shared" si="10"/>
        <v>5763.1544203916274</v>
      </c>
      <c r="AC17" s="29">
        <f t="shared" si="17"/>
        <v>0</v>
      </c>
      <c r="AD17" s="29">
        <f t="shared" si="16"/>
        <v>558.38648439536382</v>
      </c>
      <c r="AE17" s="47">
        <f t="shared" si="12"/>
        <v>382.46442909094839</v>
      </c>
      <c r="AF17" s="1"/>
      <c r="AG17" s="1"/>
      <c r="AH17" s="1"/>
      <c r="AI17" s="1"/>
    </row>
    <row r="18" spans="2:35" x14ac:dyDescent="0.25">
      <c r="B18" s="16"/>
      <c r="C18" s="69" t="s">
        <v>46</v>
      </c>
      <c r="D18" s="71">
        <v>1.01</v>
      </c>
      <c r="E18" s="21"/>
      <c r="F18" s="1"/>
      <c r="G18" s="1"/>
      <c r="H18" s="1"/>
      <c r="I18" s="1"/>
      <c r="J18" s="1"/>
      <c r="K18" s="1"/>
      <c r="L18" s="1"/>
      <c r="M18" s="1"/>
      <c r="N18" s="10"/>
      <c r="O18" s="46">
        <v>12</v>
      </c>
      <c r="P18" s="42">
        <f t="shared" si="1"/>
        <v>2040</v>
      </c>
      <c r="Q18" s="28">
        <f t="shared" si="13"/>
        <v>0.66178329828912896</v>
      </c>
      <c r="R18" s="26">
        <f t="shared" si="2"/>
        <v>1.1268250301319698</v>
      </c>
      <c r="S18" s="26">
        <f t="shared" si="8"/>
        <v>1.2714041633571027</v>
      </c>
      <c r="T18" s="26">
        <f t="shared" si="14"/>
        <v>0.74571398503548203</v>
      </c>
      <c r="U18" s="26">
        <f t="shared" si="15"/>
        <v>0.94810386524772805</v>
      </c>
      <c r="V18" s="29">
        <f t="shared" si="3"/>
        <v>8595.9002081086746</v>
      </c>
      <c r="W18" s="29">
        <f t="shared" si="9"/>
        <v>4740.5193262386401</v>
      </c>
      <c r="X18" s="29">
        <f t="shared" si="4"/>
        <v>948.10386524772809</v>
      </c>
      <c r="Y18" s="29">
        <f t="shared" si="5"/>
        <v>0</v>
      </c>
      <c r="Z18" s="29">
        <f t="shared" si="6"/>
        <v>0</v>
      </c>
      <c r="AA18" s="29">
        <f t="shared" si="7"/>
        <v>0</v>
      </c>
      <c r="AB18" s="29">
        <f t="shared" si="10"/>
        <v>5688.6231914863683</v>
      </c>
      <c r="AC18" s="29">
        <f t="shared" si="17"/>
        <v>0</v>
      </c>
      <c r="AD18" s="29">
        <f t="shared" si="16"/>
        <v>563.97034923931744</v>
      </c>
      <c r="AE18" s="47">
        <f t="shared" si="12"/>
        <v>373.22615785686747</v>
      </c>
      <c r="AF18" s="1"/>
      <c r="AG18" s="1"/>
      <c r="AH18" s="1"/>
      <c r="AI18" s="1"/>
    </row>
    <row r="19" spans="2:35" ht="13" thickBot="1" x14ac:dyDescent="0.3">
      <c r="B19" s="16"/>
      <c r="C19" s="72" t="s">
        <v>48</v>
      </c>
      <c r="D19" s="128">
        <v>2065</v>
      </c>
      <c r="E19" s="21"/>
      <c r="F19" s="1"/>
      <c r="G19" s="1"/>
      <c r="H19" s="1"/>
      <c r="I19" s="1"/>
      <c r="J19" s="1"/>
      <c r="K19" s="1"/>
      <c r="L19" s="1"/>
      <c r="M19" s="1"/>
      <c r="N19" s="10"/>
      <c r="O19" s="46">
        <v>13</v>
      </c>
      <c r="P19" s="42">
        <f t="shared" si="1"/>
        <v>2041</v>
      </c>
      <c r="Q19" s="28">
        <f t="shared" si="13"/>
        <v>0.63940415293635666</v>
      </c>
      <c r="R19" s="26">
        <f t="shared" si="2"/>
        <v>1.1380932804332895</v>
      </c>
      <c r="S19" s="26">
        <f t="shared" si="8"/>
        <v>1.2860253112357094</v>
      </c>
      <c r="T19" s="26">
        <f t="shared" si="14"/>
        <v>0.72770156993800694</v>
      </c>
      <c r="U19" s="26">
        <f t="shared" si="15"/>
        <v>0.93584263796623968</v>
      </c>
      <c r="V19" s="29">
        <f t="shared" si="3"/>
        <v>8781.7005911069446</v>
      </c>
      <c r="W19" s="29">
        <f t="shared" si="9"/>
        <v>4679.2131898311982</v>
      </c>
      <c r="X19" s="29">
        <f t="shared" si="4"/>
        <v>935.84263796623964</v>
      </c>
      <c r="Y19" s="29">
        <f t="shared" si="5"/>
        <v>0</v>
      </c>
      <c r="Z19" s="29">
        <f t="shared" si="6"/>
        <v>0</v>
      </c>
      <c r="AA19" s="29">
        <f t="shared" si="7"/>
        <v>0</v>
      </c>
      <c r="AB19" s="29">
        <f t="shared" si="10"/>
        <v>5615.0558277974378</v>
      </c>
      <c r="AC19" s="29">
        <f t="shared" si="17"/>
        <v>0</v>
      </c>
      <c r="AD19" s="29">
        <f t="shared" si="16"/>
        <v>569.61005273171065</v>
      </c>
      <c r="AE19" s="47">
        <f t="shared" si="12"/>
        <v>364.2110332709529</v>
      </c>
      <c r="AF19" s="1"/>
      <c r="AG19" s="1"/>
      <c r="AH19" s="1"/>
      <c r="AI19" s="1"/>
    </row>
    <row r="20" spans="2:35" ht="13.5" thickBot="1" x14ac:dyDescent="0.35">
      <c r="B20" s="16"/>
      <c r="C20" s="17" t="s">
        <v>49</v>
      </c>
      <c r="D20" s="18"/>
      <c r="E20" s="21"/>
      <c r="F20" s="1"/>
      <c r="G20" s="1"/>
      <c r="H20" s="97"/>
      <c r="I20" s="1"/>
      <c r="J20" s="1"/>
      <c r="K20" s="1"/>
      <c r="L20" s="1"/>
      <c r="M20" s="1"/>
      <c r="N20" s="10"/>
      <c r="O20" s="46">
        <v>14</v>
      </c>
      <c r="P20" s="42">
        <f t="shared" si="1"/>
        <v>2042</v>
      </c>
      <c r="Q20" s="28">
        <f t="shared" si="13"/>
        <v>0.61778179027667302</v>
      </c>
      <c r="R20" s="26">
        <f t="shared" si="2"/>
        <v>1.1494742132376226</v>
      </c>
      <c r="S20" s="26">
        <f t="shared" si="8"/>
        <v>1.3008146023149203</v>
      </c>
      <c r="T20" s="26">
        <f t="shared" si="14"/>
        <v>0.71012423733080865</v>
      </c>
      <c r="U20" s="26">
        <f t="shared" si="15"/>
        <v>0.92373997737766189</v>
      </c>
      <c r="V20" s="29">
        <f t="shared" si="3"/>
        <v>8971.5170493837231</v>
      </c>
      <c r="W20" s="29">
        <f t="shared" si="9"/>
        <v>4618.6998868883093</v>
      </c>
      <c r="X20" s="29">
        <f t="shared" si="4"/>
        <v>923.73997737766194</v>
      </c>
      <c r="Y20" s="29">
        <f t="shared" si="5"/>
        <v>0</v>
      </c>
      <c r="Z20" s="29">
        <f t="shared" si="6"/>
        <v>0</v>
      </c>
      <c r="AA20" s="29">
        <f t="shared" si="7"/>
        <v>0</v>
      </c>
      <c r="AB20" s="29">
        <f t="shared" si="10"/>
        <v>5542.4398642659708</v>
      </c>
      <c r="AC20" s="29">
        <f t="shared" si="17"/>
        <v>0</v>
      </c>
      <c r="AD20" s="29">
        <f t="shared" si="16"/>
        <v>575.30615325902772</v>
      </c>
      <c r="AE20" s="47">
        <f t="shared" si="12"/>
        <v>355.41366531754818</v>
      </c>
      <c r="AF20" s="1"/>
      <c r="AG20" s="1"/>
      <c r="AH20" s="1"/>
      <c r="AI20" s="1"/>
    </row>
    <row r="21" spans="2:35" ht="13" x14ac:dyDescent="0.3">
      <c r="B21" s="16"/>
      <c r="C21" s="37" t="s">
        <v>14</v>
      </c>
      <c r="D21" s="100">
        <v>5000</v>
      </c>
      <c r="E21" s="21"/>
      <c r="F21" s="8"/>
      <c r="G21" s="1"/>
      <c r="H21" s="97"/>
      <c r="I21" s="1"/>
      <c r="J21" s="1"/>
      <c r="K21" s="1"/>
      <c r="L21" s="1"/>
      <c r="M21" s="1"/>
      <c r="N21" s="10"/>
      <c r="O21" s="46">
        <v>15</v>
      </c>
      <c r="P21" s="42">
        <f t="shared" si="1"/>
        <v>2043</v>
      </c>
      <c r="Q21" s="28">
        <f t="shared" si="13"/>
        <v>0.59689061862480497</v>
      </c>
      <c r="R21" s="26">
        <f t="shared" si="2"/>
        <v>1.1609689553699984</v>
      </c>
      <c r="S21" s="26">
        <f t="shared" si="8"/>
        <v>1.3157739702415421</v>
      </c>
      <c r="T21" s="26">
        <f t="shared" si="14"/>
        <v>0.69297147797499192</v>
      </c>
      <c r="U21" s="26">
        <f t="shared" si="15"/>
        <v>0.91179383283930449</v>
      </c>
      <c r="V21" s="29">
        <f t="shared" si="3"/>
        <v>9165.436390406152</v>
      </c>
      <c r="W21" s="29">
        <f t="shared" si="9"/>
        <v>4558.9691641965228</v>
      </c>
      <c r="X21" s="29">
        <f t="shared" si="4"/>
        <v>911.79383283930451</v>
      </c>
      <c r="Y21" s="29">
        <f t="shared" si="5"/>
        <v>0</v>
      </c>
      <c r="Z21" s="29">
        <f t="shared" si="6"/>
        <v>0</v>
      </c>
      <c r="AA21" s="29">
        <f t="shared" si="7"/>
        <v>0</v>
      </c>
      <c r="AB21" s="29">
        <f t="shared" si="10"/>
        <v>5470.7629970358275</v>
      </c>
      <c r="AC21" s="29">
        <f t="shared" si="17"/>
        <v>0</v>
      </c>
      <c r="AD21" s="29">
        <f t="shared" si="16"/>
        <v>581.05921479161805</v>
      </c>
      <c r="AE21" s="47">
        <f t="shared" si="12"/>
        <v>346.82879417461231</v>
      </c>
      <c r="AF21" s="1"/>
      <c r="AG21" s="1"/>
      <c r="AH21" s="1"/>
      <c r="AI21" s="1"/>
    </row>
    <row r="22" spans="2:35" x14ac:dyDescent="0.25">
      <c r="B22" s="16"/>
      <c r="C22" s="56" t="s">
        <v>9</v>
      </c>
      <c r="D22" s="34">
        <v>1</v>
      </c>
      <c r="E22" s="21"/>
      <c r="F22" s="1"/>
      <c r="G22" s="1"/>
      <c r="H22" s="94"/>
      <c r="I22" s="1"/>
      <c r="J22" s="1"/>
      <c r="K22" s="1"/>
      <c r="L22" s="1"/>
      <c r="M22" s="1"/>
      <c r="N22" s="10"/>
      <c r="O22" s="46">
        <v>16</v>
      </c>
      <c r="P22" s="42">
        <f t="shared" si="1"/>
        <v>2044</v>
      </c>
      <c r="Q22" s="28">
        <f t="shared" si="13"/>
        <v>0.57670591171478747</v>
      </c>
      <c r="R22" s="26">
        <f t="shared" si="2"/>
        <v>1.1725786449236988</v>
      </c>
      <c r="S22" s="26">
        <f t="shared" si="8"/>
        <v>1.3309053708993199</v>
      </c>
      <c r="T22" s="26">
        <f t="shared" si="14"/>
        <v>0.67623303647801181</v>
      </c>
      <c r="U22" s="26">
        <f t="shared" si="15"/>
        <v>0.9000021802281416</v>
      </c>
      <c r="V22" s="29">
        <f t="shared" si="3"/>
        <v>9363.5472979847837</v>
      </c>
      <c r="W22" s="29">
        <f t="shared" si="9"/>
        <v>4500.0109011407076</v>
      </c>
      <c r="X22" s="29">
        <f t="shared" si="4"/>
        <v>900.00218022814158</v>
      </c>
      <c r="Y22" s="29">
        <f t="shared" si="5"/>
        <v>0</v>
      </c>
      <c r="Z22" s="29">
        <f t="shared" si="6"/>
        <v>0</v>
      </c>
      <c r="AA22" s="29">
        <f t="shared" si="7"/>
        <v>0</v>
      </c>
      <c r="AB22" s="29">
        <f t="shared" si="10"/>
        <v>5400.0130813688493</v>
      </c>
      <c r="AC22" s="29">
        <f t="shared" si="17"/>
        <v>0</v>
      </c>
      <c r="AD22" s="29">
        <f t="shared" si="16"/>
        <v>586.86980693953421</v>
      </c>
      <c r="AE22" s="47">
        <f t="shared" si="12"/>
        <v>338.45128706894536</v>
      </c>
      <c r="AF22" s="1"/>
      <c r="AG22" s="1"/>
      <c r="AH22" s="1"/>
      <c r="AI22" s="1"/>
    </row>
    <row r="23" spans="2:35" ht="13" x14ac:dyDescent="0.3">
      <c r="B23" s="16"/>
      <c r="C23" s="38" t="s">
        <v>15</v>
      </c>
      <c r="D23" s="101">
        <v>1000</v>
      </c>
      <c r="E23" s="21"/>
      <c r="F23" s="1"/>
      <c r="G23" s="1"/>
      <c r="H23" s="1"/>
      <c r="I23" s="1"/>
      <c r="J23" s="1"/>
      <c r="K23" s="1"/>
      <c r="L23" s="1"/>
      <c r="M23" s="1"/>
      <c r="N23" s="10"/>
      <c r="O23" s="46">
        <v>17</v>
      </c>
      <c r="P23" s="42">
        <f t="shared" si="1"/>
        <v>2045</v>
      </c>
      <c r="Q23" s="28">
        <f t="shared" si="13"/>
        <v>0.55720377943457733</v>
      </c>
      <c r="R23" s="26">
        <f t="shared" si="2"/>
        <v>1.1843044313729358</v>
      </c>
      <c r="S23" s="26">
        <f t="shared" si="8"/>
        <v>1.3462107826646623</v>
      </c>
      <c r="T23" s="26">
        <f t="shared" si="14"/>
        <v>0.65989890516211791</v>
      </c>
      <c r="U23" s="26">
        <f t="shared" si="15"/>
        <v>0.88836302159784852</v>
      </c>
      <c r="V23" s="29">
        <f t="shared" si="3"/>
        <v>9565.9403728307279</v>
      </c>
      <c r="W23" s="29">
        <f t="shared" si="9"/>
        <v>4441.8151079892423</v>
      </c>
      <c r="X23" s="29">
        <f t="shared" si="4"/>
        <v>888.3630215978485</v>
      </c>
      <c r="Y23" s="29">
        <f t="shared" si="5"/>
        <v>0</v>
      </c>
      <c r="Z23" s="29">
        <f t="shared" si="6"/>
        <v>0</v>
      </c>
      <c r="AA23" s="29">
        <f t="shared" si="7"/>
        <v>0</v>
      </c>
      <c r="AB23" s="29">
        <f t="shared" si="10"/>
        <v>5330.1781295870906</v>
      </c>
      <c r="AC23" s="29">
        <f t="shared" si="17"/>
        <v>0</v>
      </c>
      <c r="AD23" s="29">
        <f t="shared" si="16"/>
        <v>592.73850500892956</v>
      </c>
      <c r="AE23" s="47">
        <f t="shared" si="12"/>
        <v>330.27613520737668</v>
      </c>
      <c r="AF23" s="1"/>
      <c r="AG23" s="1"/>
      <c r="AH23" s="1"/>
      <c r="AI23" s="1"/>
    </row>
    <row r="24" spans="2:35" x14ac:dyDescent="0.25">
      <c r="B24" s="16"/>
      <c r="C24" s="56" t="s">
        <v>8</v>
      </c>
      <c r="D24" s="34">
        <v>1</v>
      </c>
      <c r="E24" s="21"/>
      <c r="F24" s="1"/>
      <c r="G24" s="1"/>
      <c r="H24" s="1"/>
      <c r="I24" s="1"/>
      <c r="J24" s="1"/>
      <c r="K24" s="1"/>
      <c r="L24" s="1"/>
      <c r="M24" s="1"/>
      <c r="N24" s="11"/>
      <c r="O24" s="46">
        <v>18</v>
      </c>
      <c r="P24" s="42">
        <f t="shared" si="1"/>
        <v>2046</v>
      </c>
      <c r="Q24" s="28">
        <f t="shared" si="13"/>
        <v>0.53836113955031628</v>
      </c>
      <c r="R24" s="26">
        <f t="shared" si="2"/>
        <v>1.1961474756866646</v>
      </c>
      <c r="S24" s="26">
        <f t="shared" si="8"/>
        <v>1.3616922066653059</v>
      </c>
      <c r="T24" s="26">
        <f t="shared" si="14"/>
        <v>0.64395931808090701</v>
      </c>
      <c r="U24" s="26">
        <f t="shared" si="15"/>
        <v>0.87687438484027591</v>
      </c>
      <c r="V24" s="29">
        <f t="shared" si="3"/>
        <v>9772.7081739894584</v>
      </c>
      <c r="W24" s="29">
        <f t="shared" si="9"/>
        <v>4384.3719242013794</v>
      </c>
      <c r="X24" s="29">
        <f t="shared" si="4"/>
        <v>876.87438484027587</v>
      </c>
      <c r="Y24" s="29">
        <f t="shared" si="5"/>
        <v>0</v>
      </c>
      <c r="Z24" s="29">
        <f t="shared" si="6"/>
        <v>0</v>
      </c>
      <c r="AA24" s="29">
        <f t="shared" si="7"/>
        <v>0</v>
      </c>
      <c r="AB24" s="29">
        <f t="shared" si="10"/>
        <v>5261.246309041655</v>
      </c>
      <c r="AC24" s="29">
        <f t="shared" si="17"/>
        <v>0</v>
      </c>
      <c r="AD24" s="29">
        <f t="shared" si="16"/>
        <v>598.66589005901892</v>
      </c>
      <c r="AE24" s="47">
        <f t="shared" si="12"/>
        <v>322.29845078207779</v>
      </c>
      <c r="AF24" s="1"/>
      <c r="AG24" s="1"/>
      <c r="AH24" s="1"/>
      <c r="AI24" s="1"/>
    </row>
    <row r="25" spans="2:35" ht="13" x14ac:dyDescent="0.3">
      <c r="B25" s="16"/>
      <c r="C25" s="38" t="s">
        <v>16</v>
      </c>
      <c r="D25" s="35">
        <v>0</v>
      </c>
      <c r="E25" s="21"/>
      <c r="F25" s="1"/>
      <c r="G25" s="1"/>
      <c r="H25" s="1"/>
      <c r="I25" s="1"/>
      <c r="J25" s="1"/>
      <c r="K25" s="1"/>
      <c r="L25" s="1"/>
      <c r="M25" s="1"/>
      <c r="N25" s="1"/>
      <c r="O25" s="46">
        <v>19</v>
      </c>
      <c r="P25" s="42">
        <f t="shared" si="1"/>
        <v>2047</v>
      </c>
      <c r="Q25" s="28">
        <f t="shared" si="13"/>
        <v>0.52015569038677911</v>
      </c>
      <c r="R25" s="26">
        <f t="shared" si="2"/>
        <v>1.2081089504435314</v>
      </c>
      <c r="S25" s="26">
        <f t="shared" si="8"/>
        <v>1.377351667041957</v>
      </c>
      <c r="T25" s="26">
        <f t="shared" si="14"/>
        <v>0.62840474518040224</v>
      </c>
      <c r="U25" s="26">
        <f t="shared" si="15"/>
        <v>0.8655343233513032</v>
      </c>
      <c r="V25" s="29">
        <f t="shared" si="3"/>
        <v>9983.9452611702418</v>
      </c>
      <c r="W25" s="29">
        <f t="shared" si="9"/>
        <v>4327.6716167565164</v>
      </c>
      <c r="X25" s="29">
        <f t="shared" si="4"/>
        <v>865.53432335130321</v>
      </c>
      <c r="Y25" s="29">
        <f t="shared" si="5"/>
        <v>0</v>
      </c>
      <c r="Z25" s="29">
        <f t="shared" si="6"/>
        <v>0</v>
      </c>
      <c r="AA25" s="29">
        <f t="shared" si="7"/>
        <v>0</v>
      </c>
      <c r="AB25" s="29">
        <f t="shared" si="10"/>
        <v>5193.2059401078195</v>
      </c>
      <c r="AC25" s="29">
        <f t="shared" si="17"/>
        <v>0</v>
      </c>
      <c r="AD25" s="29">
        <f t="shared" si="16"/>
        <v>604.65254895960913</v>
      </c>
      <c r="AE25" s="47">
        <f t="shared" si="12"/>
        <v>314.51346404821123</v>
      </c>
      <c r="AF25" s="1"/>
      <c r="AG25" s="1"/>
      <c r="AH25" s="1"/>
      <c r="AI25" s="1"/>
    </row>
    <row r="26" spans="2:35" x14ac:dyDescent="0.25">
      <c r="B26" s="16"/>
      <c r="C26" s="56" t="s">
        <v>10</v>
      </c>
      <c r="D26" s="34">
        <v>1</v>
      </c>
      <c r="E26" s="21"/>
      <c r="F26" s="1"/>
      <c r="H26" s="1"/>
      <c r="J26" s="1"/>
      <c r="O26" s="46">
        <v>20</v>
      </c>
      <c r="P26" s="42">
        <f t="shared" si="1"/>
        <v>2048</v>
      </c>
      <c r="Q26" s="28">
        <f t="shared" si="13"/>
        <v>0.50256588443167061</v>
      </c>
      <c r="R26" s="26">
        <f t="shared" si="2"/>
        <v>1.2201900399479666</v>
      </c>
      <c r="S26" s="26">
        <f t="shared" si="8"/>
        <v>1.3931912112129397</v>
      </c>
      <c r="T26" s="26">
        <f t="shared" si="14"/>
        <v>0.61322588660116528</v>
      </c>
      <c r="U26" s="26">
        <f t="shared" si="15"/>
        <v>0.85434091570100623</v>
      </c>
      <c r="V26" s="29">
        <f t="shared" si="3"/>
        <v>10199.748237990436</v>
      </c>
      <c r="W26" s="29">
        <f t="shared" si="9"/>
        <v>4271.7045785050313</v>
      </c>
      <c r="X26" s="29">
        <f t="shared" si="4"/>
        <v>854.34091570100622</v>
      </c>
      <c r="Y26" s="29">
        <f t="shared" si="5"/>
        <v>0</v>
      </c>
      <c r="Z26" s="29">
        <f t="shared" si="6"/>
        <v>0</v>
      </c>
      <c r="AA26" s="29">
        <f t="shared" si="7"/>
        <v>0</v>
      </c>
      <c r="AB26" s="29">
        <f t="shared" si="10"/>
        <v>5126.0454942060378</v>
      </c>
      <c r="AC26" s="29">
        <f t="shared" si="17"/>
        <v>0</v>
      </c>
      <c r="AD26" s="29">
        <f t="shared" si="16"/>
        <v>610.69907444920523</v>
      </c>
      <c r="AE26" s="47">
        <f t="shared" si="12"/>
        <v>306.91652047216746</v>
      </c>
      <c r="AF26" s="1"/>
      <c r="AG26" s="1"/>
      <c r="AH26" s="1"/>
      <c r="AI26" s="1"/>
    </row>
    <row r="27" spans="2:35" ht="13" x14ac:dyDescent="0.3">
      <c r="B27" s="16"/>
      <c r="C27" s="38" t="s">
        <v>17</v>
      </c>
      <c r="D27" s="35">
        <v>0</v>
      </c>
      <c r="E27" s="21"/>
      <c r="F27" s="1"/>
      <c r="H27" s="1"/>
      <c r="J27" s="1"/>
      <c r="O27" s="46">
        <v>21</v>
      </c>
      <c r="P27" s="42">
        <f t="shared" si="1"/>
        <v>2049</v>
      </c>
      <c r="Q27" s="28">
        <f t="shared" si="13"/>
        <v>0.48557090283253213</v>
      </c>
      <c r="R27" s="26">
        <f t="shared" si="2"/>
        <v>1.2323919403474466</v>
      </c>
      <c r="S27" s="26">
        <f t="shared" si="8"/>
        <v>1.4092129101418884</v>
      </c>
      <c r="T27" s="26">
        <f t="shared" si="14"/>
        <v>0.59841366711804567</v>
      </c>
      <c r="U27" s="26">
        <f t="shared" si="15"/>
        <v>0.84329226530810042</v>
      </c>
      <c r="V27" s="29">
        <f t="shared" si="3"/>
        <v>10420.215796154604</v>
      </c>
      <c r="W27" s="29">
        <f t="shared" si="9"/>
        <v>4216.4613265405023</v>
      </c>
      <c r="X27" s="29">
        <f t="shared" si="4"/>
        <v>843.29226530810047</v>
      </c>
      <c r="Y27" s="29">
        <f t="shared" si="5"/>
        <v>0</v>
      </c>
      <c r="Z27" s="29">
        <f t="shared" si="6"/>
        <v>0</v>
      </c>
      <c r="AA27" s="29">
        <f t="shared" si="7"/>
        <v>0</v>
      </c>
      <c r="AB27" s="29">
        <f t="shared" si="10"/>
        <v>5059.7535918486028</v>
      </c>
      <c r="AC27" s="29">
        <f t="shared" si="17"/>
        <v>0</v>
      </c>
      <c r="AD27" s="29">
        <f t="shared" si="16"/>
        <v>616.80606519369724</v>
      </c>
      <c r="AE27" s="47">
        <f t="shared" si="12"/>
        <v>299.50307794868525</v>
      </c>
      <c r="AF27" s="1"/>
      <c r="AG27" s="1"/>
      <c r="AH27" s="1"/>
      <c r="AI27" s="1"/>
    </row>
    <row r="28" spans="2:35" x14ac:dyDescent="0.25">
      <c r="B28" s="16"/>
      <c r="C28" s="56" t="s">
        <v>11</v>
      </c>
      <c r="D28" s="34">
        <v>1</v>
      </c>
      <c r="E28" s="21"/>
      <c r="F28" s="1"/>
      <c r="H28" s="1"/>
      <c r="J28" s="1"/>
      <c r="O28" s="46">
        <v>22</v>
      </c>
      <c r="P28" s="42">
        <f t="shared" si="1"/>
        <v>2050</v>
      </c>
      <c r="Q28" s="28">
        <f t="shared" si="13"/>
        <v>0.46915063075606966</v>
      </c>
      <c r="R28" s="26">
        <f t="shared" si="2"/>
        <v>1.2447158597509207</v>
      </c>
      <c r="S28" s="26">
        <f t="shared" si="8"/>
        <v>1.4254188586085206</v>
      </c>
      <c r="T28" s="26">
        <f t="shared" si="14"/>
        <v>0.58395923071422795</v>
      </c>
      <c r="U28" s="26">
        <f t="shared" si="15"/>
        <v>0.8323865001185845</v>
      </c>
      <c r="V28" s="29">
        <f t="shared" si="3"/>
        <v>10645.448760588484</v>
      </c>
      <c r="W28" s="29">
        <f t="shared" si="9"/>
        <v>4161.9325005929222</v>
      </c>
      <c r="X28" s="29">
        <f t="shared" si="4"/>
        <v>832.38650011858454</v>
      </c>
      <c r="Y28" s="29">
        <f t="shared" si="5"/>
        <v>0</v>
      </c>
      <c r="Z28" s="29">
        <f t="shared" si="6"/>
        <v>0</v>
      </c>
      <c r="AA28" s="29">
        <f t="shared" si="7"/>
        <v>0</v>
      </c>
      <c r="AB28" s="29">
        <f t="shared" si="10"/>
        <v>4994.3190007115063</v>
      </c>
      <c r="AC28" s="29">
        <f t="shared" si="17"/>
        <v>0</v>
      </c>
      <c r="AD28" s="29">
        <f t="shared" si="16"/>
        <v>622.97412584563426</v>
      </c>
      <c r="AE28" s="47">
        <f t="shared" si="12"/>
        <v>292.26870408519045</v>
      </c>
      <c r="AF28" s="1"/>
      <c r="AG28" s="1"/>
      <c r="AH28" s="1"/>
      <c r="AI28" s="1"/>
    </row>
    <row r="29" spans="2:35" ht="13" x14ac:dyDescent="0.3">
      <c r="B29" s="16"/>
      <c r="C29" s="38" t="s">
        <v>21</v>
      </c>
      <c r="D29" s="35">
        <v>0</v>
      </c>
      <c r="E29" s="21"/>
      <c r="F29" s="1"/>
      <c r="G29" s="1"/>
      <c r="H29" s="1"/>
      <c r="I29" s="1"/>
      <c r="J29" s="1"/>
      <c r="O29" s="46">
        <v>23</v>
      </c>
      <c r="P29" s="42">
        <f t="shared" si="1"/>
        <v>2051</v>
      </c>
      <c r="Q29" s="28">
        <f t="shared" si="13"/>
        <v>0.45328563358074364</v>
      </c>
      <c r="R29" s="26">
        <f t="shared" si="2"/>
        <v>1.2571630183484301</v>
      </c>
      <c r="S29" s="26">
        <f t="shared" si="8"/>
        <v>1.4418111754825187</v>
      </c>
      <c r="T29" s="26">
        <f t="shared" si="14"/>
        <v>0.5698539352863482</v>
      </c>
      <c r="U29" s="26">
        <f t="shared" si="15"/>
        <v>0.82162177228854882</v>
      </c>
      <c r="V29" s="29">
        <f t="shared" si="3"/>
        <v>10875.550135548609</v>
      </c>
      <c r="W29" s="29">
        <f t="shared" si="9"/>
        <v>4108.1088614427445</v>
      </c>
      <c r="X29" s="29">
        <f t="shared" si="4"/>
        <v>821.62177228854887</v>
      </c>
      <c r="Y29" s="29">
        <f t="shared" si="5"/>
        <v>0</v>
      </c>
      <c r="Z29" s="29">
        <f t="shared" si="6"/>
        <v>0</v>
      </c>
      <c r="AA29" s="29">
        <f t="shared" si="7"/>
        <v>0</v>
      </c>
      <c r="AB29" s="29">
        <f t="shared" si="10"/>
        <v>4929.730633731293</v>
      </c>
      <c r="AC29" s="29">
        <f t="shared" si="17"/>
        <v>0</v>
      </c>
      <c r="AD29" s="29">
        <f t="shared" si="16"/>
        <v>629.20386710409059</v>
      </c>
      <c r="AE29" s="47">
        <f t="shared" si="12"/>
        <v>285.20907355173171</v>
      </c>
      <c r="AF29" s="1"/>
      <c r="AG29" s="1"/>
      <c r="AH29" s="1"/>
      <c r="AI29" s="1"/>
    </row>
    <row r="30" spans="2:35" ht="13" thickBot="1" x14ac:dyDescent="0.3">
      <c r="B30" s="16"/>
      <c r="C30" s="57" t="s">
        <v>13</v>
      </c>
      <c r="D30" s="36">
        <v>1</v>
      </c>
      <c r="E30" s="21"/>
      <c r="F30" s="1"/>
      <c r="G30" s="2"/>
      <c r="H30" s="1"/>
      <c r="I30" s="1"/>
      <c r="J30" s="1"/>
      <c r="O30" s="46">
        <v>24</v>
      </c>
      <c r="P30" s="42">
        <f t="shared" si="1"/>
        <v>2052</v>
      </c>
      <c r="Q30" s="28">
        <f t="shared" si="13"/>
        <v>0.43795713389443841</v>
      </c>
      <c r="R30" s="26">
        <f t="shared" si="2"/>
        <v>1.2697346485319145</v>
      </c>
      <c r="S30" s="26">
        <f t="shared" si="8"/>
        <v>1.4583920040005678</v>
      </c>
      <c r="T30" s="26">
        <f t="shared" si="14"/>
        <v>0.55608934747749938</v>
      </c>
      <c r="U30" s="26">
        <f t="shared" si="15"/>
        <v>0.81099625787107843</v>
      </c>
      <c r="V30" s="29">
        <f t="shared" si="3"/>
        <v>11110.625151728493</v>
      </c>
      <c r="W30" s="29">
        <f t="shared" si="9"/>
        <v>4054.9812893553922</v>
      </c>
      <c r="X30" s="29">
        <f t="shared" si="4"/>
        <v>810.99625787107846</v>
      </c>
      <c r="Y30" s="29">
        <f t="shared" si="5"/>
        <v>0</v>
      </c>
      <c r="Z30" s="29">
        <f t="shared" si="6"/>
        <v>0</v>
      </c>
      <c r="AA30" s="29">
        <f t="shared" si="7"/>
        <v>0</v>
      </c>
      <c r="AB30" s="29">
        <f t="shared" si="10"/>
        <v>4865.977547226471</v>
      </c>
      <c r="AC30" s="29">
        <f t="shared" si="17"/>
        <v>0</v>
      </c>
      <c r="AD30" s="29">
        <f t="shared" si="16"/>
        <v>635.49590577513152</v>
      </c>
      <c r="AE30" s="47">
        <f t="shared" si="12"/>
        <v>278.31996549492669</v>
      </c>
      <c r="AF30" s="1"/>
      <c r="AG30" s="1"/>
      <c r="AH30" s="1"/>
      <c r="AI30" s="1"/>
    </row>
    <row r="31" spans="2:35" ht="13.5" thickBot="1" x14ac:dyDescent="0.3">
      <c r="B31" s="16"/>
      <c r="C31" s="39" t="s">
        <v>7</v>
      </c>
      <c r="D31" s="40">
        <f>D21*D22+D23*D24+D25*D26+D27*D28+D29*D30</f>
        <v>6000</v>
      </c>
      <c r="E31" s="21"/>
      <c r="F31" s="1"/>
      <c r="G31" s="2"/>
      <c r="H31" s="9"/>
      <c r="I31" s="1"/>
      <c r="J31" s="1"/>
      <c r="O31" s="46">
        <v>25</v>
      </c>
      <c r="P31" s="42">
        <f t="shared" si="1"/>
        <v>2053</v>
      </c>
      <c r="Q31" s="28">
        <f t="shared" si="13"/>
        <v>0.42314698926998884</v>
      </c>
      <c r="R31" s="26">
        <f t="shared" si="2"/>
        <v>1.2824319950172338</v>
      </c>
      <c r="S31" s="26">
        <f t="shared" si="8"/>
        <v>1.4751635120465745</v>
      </c>
      <c r="T31" s="26">
        <f t="shared" si="14"/>
        <v>0.54265723763504781</v>
      </c>
      <c r="U31" s="26">
        <f t="shared" si="15"/>
        <v>0.80050815650720963</v>
      </c>
      <c r="V31" s="29">
        <f t="shared" si="3"/>
        <v>11350.781314383106</v>
      </c>
      <c r="W31" s="29">
        <f t="shared" si="9"/>
        <v>4002.540782536048</v>
      </c>
      <c r="X31" s="29">
        <f t="shared" si="4"/>
        <v>800.50815650720961</v>
      </c>
      <c r="Y31" s="29">
        <f t="shared" si="5"/>
        <v>0</v>
      </c>
      <c r="Z31" s="29">
        <f t="shared" si="6"/>
        <v>0</v>
      </c>
      <c r="AA31" s="29">
        <f t="shared" si="7"/>
        <v>0</v>
      </c>
      <c r="AB31" s="29">
        <f t="shared" si="10"/>
        <v>4803.0489390432576</v>
      </c>
      <c r="AC31" s="29">
        <f t="shared" si="17"/>
        <v>0</v>
      </c>
      <c r="AD31" s="29">
        <f t="shared" si="16"/>
        <v>641.85086483288285</v>
      </c>
      <c r="AE31" s="47">
        <f t="shared" si="12"/>
        <v>271.59726101437292</v>
      </c>
      <c r="AF31" s="1"/>
      <c r="AG31" s="1"/>
      <c r="AH31" s="1"/>
      <c r="AI31" s="1"/>
    </row>
    <row r="32" spans="2:35" ht="13" x14ac:dyDescent="0.3">
      <c r="B32" s="16"/>
      <c r="C32" s="23"/>
      <c r="D32" s="23"/>
      <c r="E32" s="21"/>
      <c r="F32" s="1"/>
      <c r="G32" s="1"/>
      <c r="H32" s="5"/>
      <c r="I32" s="1"/>
      <c r="J32" s="1"/>
      <c r="O32" s="46">
        <v>26</v>
      </c>
      <c r="P32" s="42">
        <f t="shared" si="1"/>
        <v>2054</v>
      </c>
      <c r="Q32" s="28">
        <f t="shared" si="13"/>
        <v>0.40883767079225974</v>
      </c>
      <c r="R32" s="26">
        <f t="shared" si="2"/>
        <v>1.2952563149674059</v>
      </c>
      <c r="S32" s="26">
        <f t="shared" si="8"/>
        <v>1.4921278924351102</v>
      </c>
      <c r="T32" s="26">
        <f t="shared" si="14"/>
        <v>0.52954957489023979</v>
      </c>
      <c r="U32" s="26">
        <f t="shared" si="15"/>
        <v>0.79015569112088213</v>
      </c>
      <c r="V32" s="29">
        <f t="shared" si="3"/>
        <v>11596.128452493496</v>
      </c>
      <c r="W32" s="29">
        <f t="shared" si="9"/>
        <v>3950.7784556044107</v>
      </c>
      <c r="X32" s="29">
        <f t="shared" si="4"/>
        <v>790.15569112088212</v>
      </c>
      <c r="Y32" s="29">
        <f t="shared" si="5"/>
        <v>0</v>
      </c>
      <c r="Z32" s="29">
        <f t="shared" si="6"/>
        <v>0</v>
      </c>
      <c r="AA32" s="29">
        <f t="shared" si="7"/>
        <v>0</v>
      </c>
      <c r="AB32" s="29">
        <f t="shared" si="10"/>
        <v>4740.9341467252925</v>
      </c>
      <c r="AC32" s="29">
        <f t="shared" si="17"/>
        <v>0</v>
      </c>
      <c r="AD32" s="29">
        <f t="shared" si="16"/>
        <v>648.26937348121169</v>
      </c>
      <c r="AE32" s="47">
        <f t="shared" si="12"/>
        <v>265.03694070001609</v>
      </c>
      <c r="AF32" s="1"/>
      <c r="AG32" s="1"/>
      <c r="AH32" s="1"/>
      <c r="AI32" s="1"/>
    </row>
    <row r="33" spans="2:36" ht="13.5" thickBot="1" x14ac:dyDescent="0.35">
      <c r="B33" s="16"/>
      <c r="C33" s="17" t="s">
        <v>27</v>
      </c>
      <c r="D33" s="23"/>
      <c r="E33" s="21"/>
      <c r="F33" s="1"/>
      <c r="G33" s="1"/>
      <c r="H33" s="5"/>
      <c r="I33" s="1"/>
      <c r="J33" s="1"/>
      <c r="O33" s="46">
        <v>27</v>
      </c>
      <c r="P33" s="42">
        <f t="shared" si="1"/>
        <v>2055</v>
      </c>
      <c r="Q33" s="28">
        <f t="shared" si="13"/>
        <v>0.39501224231136206</v>
      </c>
      <c r="R33" s="26">
        <f t="shared" si="2"/>
        <v>1.30820887811708</v>
      </c>
      <c r="S33" s="26">
        <f t="shared" si="8"/>
        <v>1.5092873631981141</v>
      </c>
      <c r="T33" s="26">
        <f t="shared" si="14"/>
        <v>0.51675852235665909</v>
      </c>
      <c r="U33" s="26">
        <f t="shared" si="15"/>
        <v>0.77993710761783563</v>
      </c>
      <c r="V33" s="29">
        <f t="shared" si="3"/>
        <v>11846.778768994143</v>
      </c>
      <c r="W33" s="29">
        <f t="shared" si="9"/>
        <v>3899.685538089178</v>
      </c>
      <c r="X33" s="29">
        <f t="shared" si="4"/>
        <v>779.93710761783564</v>
      </c>
      <c r="Y33" s="29">
        <f t="shared" si="5"/>
        <v>0</v>
      </c>
      <c r="Z33" s="29">
        <f t="shared" si="6"/>
        <v>0</v>
      </c>
      <c r="AA33" s="29">
        <f t="shared" si="7"/>
        <v>0</v>
      </c>
      <c r="AB33" s="29">
        <f t="shared" si="10"/>
        <v>4679.6226457070134</v>
      </c>
      <c r="AC33" s="29">
        <f t="shared" si="17"/>
        <v>0</v>
      </c>
      <c r="AD33" s="29">
        <f t="shared" si="16"/>
        <v>654.75206721602376</v>
      </c>
      <c r="AE33" s="47">
        <f t="shared" si="12"/>
        <v>258.63508222900117</v>
      </c>
      <c r="AF33" s="1"/>
      <c r="AG33" s="1"/>
      <c r="AH33" s="1"/>
      <c r="AI33" s="1"/>
    </row>
    <row r="34" spans="2:36" ht="13.5" thickBot="1" x14ac:dyDescent="0.35">
      <c r="B34" s="16"/>
      <c r="C34" s="63" t="s">
        <v>18</v>
      </c>
      <c r="D34" s="25">
        <v>500</v>
      </c>
      <c r="E34" s="21"/>
      <c r="F34" s="1"/>
      <c r="G34" s="1"/>
      <c r="H34" s="3"/>
      <c r="I34" s="1"/>
      <c r="O34" s="46">
        <v>28</v>
      </c>
      <c r="P34" s="42">
        <f t="shared" si="1"/>
        <v>2056</v>
      </c>
      <c r="Q34" s="28">
        <f t="shared" si="13"/>
        <v>0.38165434039745127</v>
      </c>
      <c r="R34" s="26">
        <f t="shared" si="2"/>
        <v>1.3212909668982509</v>
      </c>
      <c r="S34" s="26">
        <f t="shared" si="8"/>
        <v>1.5266441678748923</v>
      </c>
      <c r="T34" s="26">
        <f t="shared" si="14"/>
        <v>0.50427643244466258</v>
      </c>
      <c r="U34" s="26">
        <f t="shared" si="15"/>
        <v>0.76985067458840128</v>
      </c>
      <c r="V34" s="29">
        <f t="shared" si="3"/>
        <v>12102.846892085954</v>
      </c>
      <c r="W34" s="29">
        <f t="shared" si="9"/>
        <v>3849.2533729420065</v>
      </c>
      <c r="X34" s="29">
        <f t="shared" si="4"/>
        <v>769.85067458840126</v>
      </c>
      <c r="Y34" s="29">
        <f t="shared" si="5"/>
        <v>0</v>
      </c>
      <c r="Z34" s="29">
        <f t="shared" si="6"/>
        <v>0</v>
      </c>
      <c r="AA34" s="29">
        <f t="shared" si="7"/>
        <v>0</v>
      </c>
      <c r="AB34" s="29">
        <f t="shared" si="10"/>
        <v>4619.104047530408</v>
      </c>
      <c r="AC34" s="29">
        <f t="shared" si="17"/>
        <v>0</v>
      </c>
      <c r="AD34" s="29">
        <f t="shared" si="16"/>
        <v>661.29958788818396</v>
      </c>
      <c r="AE34" s="47">
        <f t="shared" si="12"/>
        <v>252.3878580205712</v>
      </c>
      <c r="AF34" s="1"/>
      <c r="AG34" s="1"/>
      <c r="AH34" s="1"/>
      <c r="AI34" s="1"/>
      <c r="AJ34" s="1"/>
    </row>
    <row r="35" spans="2:36" ht="13" x14ac:dyDescent="0.3">
      <c r="B35" s="16"/>
      <c r="C35" s="23"/>
      <c r="D35" s="23"/>
      <c r="E35" s="21"/>
      <c r="F35" s="1"/>
      <c r="G35" s="1"/>
      <c r="H35" s="5"/>
      <c r="I35" s="1"/>
      <c r="O35" s="46">
        <v>29</v>
      </c>
      <c r="P35" s="42">
        <f t="shared" si="1"/>
        <v>2057</v>
      </c>
      <c r="Q35" s="28">
        <f t="shared" si="13"/>
        <v>0.36874815497338298</v>
      </c>
      <c r="R35" s="26">
        <f t="shared" si="2"/>
        <v>1.3345038765672335</v>
      </c>
      <c r="S35" s="26">
        <f t="shared" si="8"/>
        <v>1.5442005758054538</v>
      </c>
      <c r="T35" s="26">
        <f t="shared" si="14"/>
        <v>0.49209584228899456</v>
      </c>
      <c r="U35" s="26">
        <f t="shared" si="15"/>
        <v>0.75989468301413521</v>
      </c>
      <c r="V35" s="29">
        <f t="shared" si="3"/>
        <v>12364.449927658392</v>
      </c>
      <c r="W35" s="29">
        <f t="shared" si="9"/>
        <v>3799.4734150706759</v>
      </c>
      <c r="X35" s="29">
        <f t="shared" si="4"/>
        <v>759.89468301413524</v>
      </c>
      <c r="Y35" s="29">
        <f t="shared" si="5"/>
        <v>0</v>
      </c>
      <c r="Z35" s="29">
        <f t="shared" si="6"/>
        <v>0</v>
      </c>
      <c r="AA35" s="29">
        <f t="shared" si="7"/>
        <v>0</v>
      </c>
      <c r="AB35" s="29">
        <f t="shared" si="10"/>
        <v>4559.3680980848112</v>
      </c>
      <c r="AC35" s="29">
        <f t="shared" si="17"/>
        <v>0</v>
      </c>
      <c r="AD35" s="29">
        <f t="shared" si="16"/>
        <v>667.91258376706583</v>
      </c>
      <c r="AE35" s="47">
        <f t="shared" si="12"/>
        <v>246.29153294761062</v>
      </c>
      <c r="AF35" s="1"/>
      <c r="AG35" s="1"/>
      <c r="AH35" s="1"/>
      <c r="AI35" s="1"/>
      <c r="AJ35" s="1"/>
    </row>
    <row r="36" spans="2:36" ht="15.5" x14ac:dyDescent="0.35">
      <c r="B36" s="16"/>
      <c r="C36" s="17" t="s">
        <v>19</v>
      </c>
      <c r="D36" s="24"/>
      <c r="E36" s="21"/>
      <c r="F36" s="1"/>
      <c r="G36" s="115" t="s">
        <v>60</v>
      </c>
      <c r="H36" s="116"/>
      <c r="I36" s="117"/>
      <c r="J36" s="116"/>
      <c r="K36" s="118"/>
      <c r="O36" s="46">
        <v>30</v>
      </c>
      <c r="P36" s="42">
        <f t="shared" si="1"/>
        <v>2058</v>
      </c>
      <c r="Q36" s="28">
        <f t="shared" si="13"/>
        <v>0.35627841060230236</v>
      </c>
      <c r="R36" s="26">
        <f t="shared" si="2"/>
        <v>1.3478489153329054</v>
      </c>
      <c r="S36" s="26">
        <f t="shared" si="8"/>
        <v>1.5619588824272168</v>
      </c>
      <c r="T36" s="26">
        <f t="shared" si="14"/>
        <v>0.48020946928684477</v>
      </c>
      <c r="U36" s="26">
        <f t="shared" si="15"/>
        <v>0.75006744597824693</v>
      </c>
      <c r="V36" s="29">
        <f t="shared" si="3"/>
        <v>12631.707512844729</v>
      </c>
      <c r="W36" s="29">
        <f t="shared" si="9"/>
        <v>3750.3372298912345</v>
      </c>
      <c r="X36" s="29">
        <f t="shared" si="4"/>
        <v>750.06744597824695</v>
      </c>
      <c r="Y36" s="29">
        <f t="shared" si="5"/>
        <v>0</v>
      </c>
      <c r="Z36" s="29">
        <f t="shared" si="6"/>
        <v>0</v>
      </c>
      <c r="AA36" s="29">
        <f t="shared" si="7"/>
        <v>0</v>
      </c>
      <c r="AB36" s="29">
        <f t="shared" si="10"/>
        <v>4500.4046758694813</v>
      </c>
      <c r="AC36" s="29">
        <f t="shared" si="17"/>
        <v>0</v>
      </c>
      <c r="AD36" s="29">
        <f t="shared" si="16"/>
        <v>674.59170960473648</v>
      </c>
      <c r="AE36" s="47">
        <f t="shared" si="12"/>
        <v>240.34246210346544</v>
      </c>
      <c r="AF36" s="1"/>
      <c r="AG36" s="1"/>
      <c r="AH36" s="1"/>
      <c r="AI36" s="1"/>
      <c r="AJ36" s="1"/>
    </row>
    <row r="37" spans="2:36" ht="13" x14ac:dyDescent="0.3">
      <c r="B37" s="16"/>
      <c r="C37" s="96">
        <f>Diskonteringsår-0</f>
        <v>2028</v>
      </c>
      <c r="D37" s="106">
        <v>95000</v>
      </c>
      <c r="E37" s="21"/>
      <c r="F37" s="1"/>
      <c r="G37" s="119" t="s">
        <v>61</v>
      </c>
      <c r="K37" s="120"/>
      <c r="O37" s="46">
        <v>31</v>
      </c>
      <c r="P37" s="42">
        <f t="shared" si="1"/>
        <v>2059</v>
      </c>
      <c r="Q37" s="28">
        <f t="shared" si="13"/>
        <v>0.34423034840802164</v>
      </c>
      <c r="R37" s="26">
        <f t="shared" si="2"/>
        <v>1.3613274044862349</v>
      </c>
      <c r="S37" s="26">
        <f t="shared" si="8"/>
        <v>1.5799214095751299</v>
      </c>
      <c r="T37" s="26">
        <f t="shared" si="14"/>
        <v>0.46861020674368442</v>
      </c>
      <c r="U37" s="26">
        <f t="shared" si="15"/>
        <v>0.740367298379775</v>
      </c>
      <c r="V37" s="29">
        <f t="shared" si="3"/>
        <v>12904.741870734872</v>
      </c>
      <c r="W37" s="29">
        <f t="shared" si="9"/>
        <v>3701.836491898875</v>
      </c>
      <c r="X37" s="29">
        <f t="shared" si="4"/>
        <v>740.36729837977498</v>
      </c>
      <c r="Y37" s="29">
        <f t="shared" si="5"/>
        <v>0</v>
      </c>
      <c r="Z37" s="29">
        <f t="shared" si="6"/>
        <v>0</v>
      </c>
      <c r="AA37" s="29">
        <f t="shared" si="7"/>
        <v>0</v>
      </c>
      <c r="AB37" s="29">
        <f t="shared" si="10"/>
        <v>4442.2037902786496</v>
      </c>
      <c r="AC37" s="29">
        <f t="shared" si="17"/>
        <v>0</v>
      </c>
      <c r="AD37" s="29">
        <f t="shared" si="16"/>
        <v>681.33762670078386</v>
      </c>
      <c r="AE37" s="47">
        <f t="shared" si="12"/>
        <v>234.53708862270543</v>
      </c>
      <c r="AF37" s="1"/>
      <c r="AG37" s="1"/>
      <c r="AH37" s="1"/>
      <c r="AI37" s="1"/>
      <c r="AJ37" s="1"/>
    </row>
    <row r="38" spans="2:36" ht="13" x14ac:dyDescent="0.3">
      <c r="B38" s="16"/>
      <c r="C38" s="96">
        <f>Diskonteringsår+1</f>
        <v>2029</v>
      </c>
      <c r="D38" s="106">
        <v>95000</v>
      </c>
      <c r="E38" s="21"/>
      <c r="F38" s="1"/>
      <c r="G38" s="119" t="s">
        <v>62</v>
      </c>
      <c r="K38" s="120"/>
      <c r="O38" s="46">
        <v>32</v>
      </c>
      <c r="P38" s="42">
        <f t="shared" ref="P38:P65" si="18">Trafikstartår+O38</f>
        <v>2060</v>
      </c>
      <c r="Q38" s="28">
        <f t="shared" ref="Q38:Q65" si="19">($D$9)^-($D$12-$D$10+O38)</f>
        <v>0.33258970860678427</v>
      </c>
      <c r="R38" s="26">
        <f t="shared" ref="R38:R65" si="20">IF(P38&lt;=$D$15,($D$17)^-($D$12-($D$12+O38)),IF(AND(P38&gt;$D$15,P38&lt;=$D$13),$R$21*$D$18^-($D$12-($D$12+(O38-15))),$R$46))</f>
        <v>1.3749406785310974</v>
      </c>
      <c r="S38" s="26">
        <f t="shared" si="8"/>
        <v>1.5980905057852441</v>
      </c>
      <c r="T38" s="26">
        <f t="shared" ref="T38:T65" si="21">IF(O38&lt;(KALKYLPERIOD),R38*Q38,0)</f>
        <v>0.45729111962427194</v>
      </c>
      <c r="U38" s="26">
        <f t="shared" si="15"/>
        <v>0.73079259665145335</v>
      </c>
      <c r="V38" s="29">
        <f t="shared" si="3"/>
        <v>13183.677866270807</v>
      </c>
      <c r="W38" s="29">
        <f t="shared" ref="W38:W65" si="22">U38*D$21*D$22</f>
        <v>3653.9629832572668</v>
      </c>
      <c r="X38" s="29">
        <f t="shared" ref="X38:X65" si="23">U38*D$23*D$24</f>
        <v>730.79259665145332</v>
      </c>
      <c r="Y38" s="29">
        <f t="shared" ref="Y38:Y65" si="24">U38*D$25*D$26</f>
        <v>0</v>
      </c>
      <c r="Z38" s="29">
        <f t="shared" ref="Z38:Z65" si="25">U38*D$27*D$28</f>
        <v>0</v>
      </c>
      <c r="AA38" s="29">
        <f t="shared" ref="AA38:AA65" si="26">T38*D$29*D$30</f>
        <v>0</v>
      </c>
      <c r="AB38" s="29">
        <f t="shared" si="10"/>
        <v>4384.7555799087204</v>
      </c>
      <c r="AC38" s="29">
        <f t="shared" si="17"/>
        <v>0</v>
      </c>
      <c r="AD38" s="29">
        <f t="shared" si="16"/>
        <v>688.15100296779167</v>
      </c>
      <c r="AE38" s="47">
        <f t="shared" si="12"/>
        <v>228.87194155452417</v>
      </c>
      <c r="AF38" s="1"/>
      <c r="AG38" s="1"/>
      <c r="AH38" s="1"/>
      <c r="AI38" s="1"/>
      <c r="AJ38" s="1"/>
    </row>
    <row r="39" spans="2:36" ht="13" x14ac:dyDescent="0.3">
      <c r="B39" s="16"/>
      <c r="C39" s="96">
        <f>Diskonteringsår+2</f>
        <v>2030</v>
      </c>
      <c r="D39" s="106"/>
      <c r="E39" s="21"/>
      <c r="F39" s="1"/>
      <c r="G39" s="119" t="s">
        <v>63</v>
      </c>
      <c r="I39" s="121"/>
      <c r="K39" s="120"/>
      <c r="O39" s="46">
        <v>33</v>
      </c>
      <c r="P39" s="42">
        <f t="shared" si="18"/>
        <v>2061</v>
      </c>
      <c r="Q39" s="28">
        <f t="shared" si="19"/>
        <v>0.32134271362974326</v>
      </c>
      <c r="R39" s="26">
        <f t="shared" si="20"/>
        <v>1.3886900853164084</v>
      </c>
      <c r="S39" s="26">
        <f t="shared" si="8"/>
        <v>1.6164685466017745</v>
      </c>
      <c r="T39" s="26">
        <f t="shared" si="21"/>
        <v>0.44624544040629432</v>
      </c>
      <c r="U39" s="26">
        <f t="shared" si="15"/>
        <v>0.72134171848123141</v>
      </c>
      <c r="V39" s="29">
        <f t="shared" si="3"/>
        <v>13468.643063350251</v>
      </c>
      <c r="W39" s="29">
        <f t="shared" si="22"/>
        <v>3606.7085924061571</v>
      </c>
      <c r="X39" s="29">
        <f t="shared" si="23"/>
        <v>721.3417184812314</v>
      </c>
      <c r="Y39" s="29">
        <f t="shared" si="24"/>
        <v>0</v>
      </c>
      <c r="Z39" s="29">
        <f t="shared" si="25"/>
        <v>0</v>
      </c>
      <c r="AA39" s="29">
        <f t="shared" si="26"/>
        <v>0</v>
      </c>
      <c r="AB39" s="29">
        <f t="shared" si="10"/>
        <v>4328.0503108873882</v>
      </c>
      <c r="AC39" s="29">
        <f t="shared" si="17"/>
        <v>0</v>
      </c>
      <c r="AD39" s="29">
        <f t="shared" si="16"/>
        <v>695.03251299746955</v>
      </c>
      <c r="AE39" s="47">
        <f t="shared" si="12"/>
        <v>223.34363378750666</v>
      </c>
      <c r="AF39" s="1"/>
      <c r="AG39" s="1"/>
      <c r="AH39" s="1"/>
      <c r="AI39" s="1"/>
      <c r="AJ39" s="1"/>
    </row>
    <row r="40" spans="2:36" ht="13" x14ac:dyDescent="0.3">
      <c r="B40" s="16"/>
      <c r="C40" s="96">
        <f>Diskonteringsår+3</f>
        <v>2031</v>
      </c>
      <c r="D40" s="106"/>
      <c r="E40" s="21"/>
      <c r="F40" s="1"/>
      <c r="G40" s="119" t="s">
        <v>64</v>
      </c>
      <c r="I40" s="122"/>
      <c r="J40" s="121"/>
      <c r="K40" s="120"/>
      <c r="O40" s="46">
        <v>34</v>
      </c>
      <c r="P40" s="42">
        <f t="shared" si="18"/>
        <v>2062</v>
      </c>
      <c r="Q40" s="28">
        <f t="shared" si="19"/>
        <v>0.3104760518161771</v>
      </c>
      <c r="R40" s="26">
        <f t="shared" si="20"/>
        <v>1.402576986169572</v>
      </c>
      <c r="S40" s="26">
        <f t="shared" si="8"/>
        <v>1.635057934887695</v>
      </c>
      <c r="T40" s="26">
        <f t="shared" si="21"/>
        <v>0.43546656503416159</v>
      </c>
      <c r="U40" s="26">
        <f t="shared" si="15"/>
        <v>0.71201306253739438</v>
      </c>
      <c r="V40" s="29">
        <f t="shared" si="3"/>
        <v>13759.767783164565</v>
      </c>
      <c r="W40" s="29">
        <f t="shared" si="22"/>
        <v>3560.065312686972</v>
      </c>
      <c r="X40" s="29">
        <f t="shared" si="23"/>
        <v>712.01306253739438</v>
      </c>
      <c r="Y40" s="29">
        <f t="shared" si="24"/>
        <v>0</v>
      </c>
      <c r="Z40" s="29">
        <f t="shared" si="25"/>
        <v>0</v>
      </c>
      <c r="AA40" s="29">
        <f t="shared" si="26"/>
        <v>0</v>
      </c>
      <c r="AB40" s="29">
        <f t="shared" si="10"/>
        <v>4272.078375224366</v>
      </c>
      <c r="AC40" s="29">
        <f t="shared" si="17"/>
        <v>0</v>
      </c>
      <c r="AD40" s="29">
        <f t="shared" si="16"/>
        <v>701.98283812744421</v>
      </c>
      <c r="AE40" s="47">
        <f t="shared" si="12"/>
        <v>217.94886002452344</v>
      </c>
      <c r="AF40" s="1"/>
      <c r="AG40" s="1"/>
      <c r="AH40" s="1"/>
      <c r="AI40" s="1"/>
      <c r="AJ40" s="1"/>
    </row>
    <row r="41" spans="2:36" ht="13" x14ac:dyDescent="0.3">
      <c r="B41" s="16"/>
      <c r="C41" s="96">
        <f>Diskonteringsår+4</f>
        <v>2032</v>
      </c>
      <c r="D41" s="106"/>
      <c r="E41" s="21"/>
      <c r="F41" s="1"/>
      <c r="G41" s="119" t="s">
        <v>65</v>
      </c>
      <c r="K41" s="120"/>
      <c r="O41" s="46">
        <v>35</v>
      </c>
      <c r="P41" s="42">
        <f t="shared" si="18"/>
        <v>2063</v>
      </c>
      <c r="Q41" s="28">
        <f t="shared" si="19"/>
        <v>0.29997686165814214</v>
      </c>
      <c r="R41" s="26">
        <f t="shared" si="20"/>
        <v>1.416602756031268</v>
      </c>
      <c r="S41" s="26">
        <f t="shared" si="8"/>
        <v>1.6538611011389037</v>
      </c>
      <c r="T41" s="26">
        <f t="shared" si="21"/>
        <v>0.42494804897053456</v>
      </c>
      <c r="U41" s="26">
        <f t="shared" si="15"/>
        <v>0.7028050481972371</v>
      </c>
      <c r="V41" s="29">
        <f t="shared" si="3"/>
        <v>14057.185163797672</v>
      </c>
      <c r="W41" s="29">
        <f t="shared" si="22"/>
        <v>3514.0252409861855</v>
      </c>
      <c r="X41" s="29">
        <f t="shared" si="23"/>
        <v>702.80504819723706</v>
      </c>
      <c r="Y41" s="29">
        <f t="shared" si="24"/>
        <v>0</v>
      </c>
      <c r="Z41" s="29">
        <f t="shared" si="25"/>
        <v>0</v>
      </c>
      <c r="AA41" s="29">
        <f t="shared" si="26"/>
        <v>0</v>
      </c>
      <c r="AB41" s="29">
        <f t="shared" si="10"/>
        <v>4216.8302891834228</v>
      </c>
      <c r="AC41" s="29">
        <f t="shared" si="17"/>
        <v>0</v>
      </c>
      <c r="AD41" s="29">
        <f t="shared" si="16"/>
        <v>709.00266650871868</v>
      </c>
      <c r="AE41" s="47">
        <f t="shared" si="12"/>
        <v>212.68439480653979</v>
      </c>
      <c r="AF41" s="1"/>
      <c r="AG41" s="1"/>
      <c r="AH41" s="1"/>
      <c r="AI41" s="1"/>
      <c r="AJ41" s="1"/>
    </row>
    <row r="42" spans="2:36" ht="13.5" thickBot="1" x14ac:dyDescent="0.35">
      <c r="B42" s="16"/>
      <c r="C42" s="96">
        <f>Diskonteringsår+5</f>
        <v>2033</v>
      </c>
      <c r="D42" s="107"/>
      <c r="E42" s="21"/>
      <c r="F42" s="1"/>
      <c r="G42" s="119" t="s">
        <v>66</v>
      </c>
      <c r="I42" s="122"/>
      <c r="J42" s="121"/>
      <c r="K42" s="120"/>
      <c r="O42" s="46">
        <v>36</v>
      </c>
      <c r="P42" s="42">
        <f t="shared" si="18"/>
        <v>2064</v>
      </c>
      <c r="Q42" s="28">
        <f t="shared" si="19"/>
        <v>0.28983271657791515</v>
      </c>
      <c r="R42" s="26">
        <f t="shared" si="20"/>
        <v>1.4307687835915806</v>
      </c>
      <c r="S42" s="26">
        <f t="shared" si="8"/>
        <v>1.6728805038020012</v>
      </c>
      <c r="T42" s="26">
        <f t="shared" si="21"/>
        <v>0.41468360334322696</v>
      </c>
      <c r="U42" s="26">
        <f t="shared" si="15"/>
        <v>0.6937161152792467</v>
      </c>
      <c r="V42" s="29">
        <f t="shared" si="3"/>
        <v>14361.031221113159</v>
      </c>
      <c r="W42" s="29">
        <f t="shared" si="22"/>
        <v>3468.5805763962335</v>
      </c>
      <c r="X42" s="29">
        <f t="shared" si="23"/>
        <v>693.71611527924665</v>
      </c>
      <c r="Y42" s="29">
        <f t="shared" si="24"/>
        <v>0</v>
      </c>
      <c r="Z42" s="29">
        <f t="shared" si="25"/>
        <v>0</v>
      </c>
      <c r="AA42" s="29">
        <f t="shared" si="26"/>
        <v>0</v>
      </c>
      <c r="AB42" s="29">
        <f t="shared" si="10"/>
        <v>4162.2966916754804</v>
      </c>
      <c r="AC42" s="29">
        <f t="shared" si="17"/>
        <v>0</v>
      </c>
      <c r="AD42" s="29">
        <f t="shared" si="16"/>
        <v>716.09269317380586</v>
      </c>
      <c r="AE42" s="47">
        <f t="shared" si="12"/>
        <v>207.54709058415963</v>
      </c>
      <c r="AF42" s="1"/>
      <c r="AG42" s="1"/>
      <c r="AH42" s="1"/>
      <c r="AI42" s="1"/>
      <c r="AJ42" s="1"/>
    </row>
    <row r="43" spans="2:36" ht="13" thickBot="1" x14ac:dyDescent="0.3">
      <c r="B43" s="20"/>
      <c r="C43" s="99"/>
      <c r="D43" s="99"/>
      <c r="E43" s="22"/>
      <c r="F43" s="1"/>
      <c r="G43" s="119" t="s">
        <v>67</v>
      </c>
      <c r="K43" s="120"/>
      <c r="O43" s="46">
        <v>37</v>
      </c>
      <c r="P43" s="42">
        <f t="shared" si="18"/>
        <v>2065</v>
      </c>
      <c r="Q43" s="28">
        <f t="shared" si="19"/>
        <v>0.28003161022020789</v>
      </c>
      <c r="R43" s="26">
        <f t="shared" si="20"/>
        <v>1.4450764714274966</v>
      </c>
      <c r="S43" s="26">
        <f>($D$14)^((Diskonteringsår-$D$11)+O43)</f>
        <v>1.6921186295957242</v>
      </c>
      <c r="T43" s="26">
        <f t="shared" si="21"/>
        <v>0.40466709118517813</v>
      </c>
      <c r="U43" s="26">
        <f t="shared" si="15"/>
        <v>0.68474472377875162</v>
      </c>
      <c r="V43" s="29">
        <f>IF(P43&lt;D$19,$D$31*R43*S43,V$42)</f>
        <v>14361.031221113159</v>
      </c>
      <c r="W43" s="29">
        <f t="shared" si="22"/>
        <v>3423.7236188937582</v>
      </c>
      <c r="X43" s="29">
        <f t="shared" si="23"/>
        <v>684.74472377875156</v>
      </c>
      <c r="Y43" s="29">
        <f t="shared" si="24"/>
        <v>0</v>
      </c>
      <c r="Z43" s="29">
        <f t="shared" si="25"/>
        <v>0</v>
      </c>
      <c r="AA43" s="29">
        <f t="shared" si="26"/>
        <v>0</v>
      </c>
      <c r="AB43" s="29">
        <f t="shared" si="10"/>
        <v>4108.4683426725096</v>
      </c>
      <c r="AC43" s="29">
        <f t="shared" si="17"/>
        <v>0</v>
      </c>
      <c r="AD43" s="29">
        <f t="shared" si="16"/>
        <v>723.25362010554397</v>
      </c>
      <c r="AE43" s="47">
        <f t="shared" si="12"/>
        <v>202.53387583575</v>
      </c>
      <c r="AF43" s="1"/>
      <c r="AG43" s="1"/>
      <c r="AH43" s="1"/>
      <c r="AI43" s="1"/>
      <c r="AJ43" s="1"/>
    </row>
    <row r="44" spans="2:36" x14ac:dyDescent="0.25">
      <c r="B44" s="97"/>
      <c r="C44" s="1"/>
      <c r="D44" s="1"/>
      <c r="E44" s="97"/>
      <c r="F44" s="1"/>
      <c r="G44" s="123" t="s">
        <v>68</v>
      </c>
      <c r="H44" s="124"/>
      <c r="I44" s="124"/>
      <c r="J44" s="124"/>
      <c r="K44" s="125"/>
      <c r="O44" s="46">
        <v>38</v>
      </c>
      <c r="P44" s="42">
        <f t="shared" si="18"/>
        <v>2066</v>
      </c>
      <c r="Q44" s="28">
        <f t="shared" si="19"/>
        <v>0.27056194224174673</v>
      </c>
      <c r="R44" s="26">
        <f t="shared" si="20"/>
        <v>1.4595272361417715</v>
      </c>
      <c r="S44" s="26">
        <f>$S$43</f>
        <v>1.6921186295957242</v>
      </c>
      <c r="T44" s="26">
        <f t="shared" si="21"/>
        <v>0.39489252376524625</v>
      </c>
      <c r="U44" s="26">
        <f t="shared" si="15"/>
        <v>0.6682049961512454</v>
      </c>
      <c r="V44" s="29">
        <f t="shared" ref="V44:V65" si="27">IF(P44&lt;D$19,$D$31*R44*S44,V$42)</f>
        <v>14361.031221113159</v>
      </c>
      <c r="W44" s="29">
        <f t="shared" si="22"/>
        <v>3341.0249807562268</v>
      </c>
      <c r="X44" s="29">
        <f t="shared" si="23"/>
        <v>668.20499615124538</v>
      </c>
      <c r="Y44" s="29">
        <f t="shared" si="24"/>
        <v>0</v>
      </c>
      <c r="Z44" s="29">
        <f t="shared" si="25"/>
        <v>0</v>
      </c>
      <c r="AA44" s="29">
        <f t="shared" si="26"/>
        <v>0</v>
      </c>
      <c r="AB44" s="29">
        <f t="shared" si="10"/>
        <v>4009.2299769074721</v>
      </c>
      <c r="AC44" s="29">
        <f t="shared" ref="AC44:AC65" si="28">D85*Q44</f>
        <v>0</v>
      </c>
      <c r="AD44" s="29">
        <f t="shared" si="16"/>
        <v>730.48615630659947</v>
      </c>
      <c r="AE44" s="47">
        <f t="shared" si="12"/>
        <v>197.64175323102174</v>
      </c>
      <c r="AF44" s="1"/>
      <c r="AG44" s="1"/>
      <c r="AH44" s="1"/>
      <c r="AI44" s="1"/>
      <c r="AJ44" s="1"/>
    </row>
    <row r="45" spans="2:36" x14ac:dyDescent="0.25">
      <c r="B45" s="97"/>
      <c r="C45" s="97"/>
      <c r="D45" s="97"/>
      <c r="E45" s="97"/>
      <c r="F45" s="1"/>
      <c r="G45" s="1"/>
      <c r="H45" s="1"/>
      <c r="I45" s="1"/>
      <c r="J45" s="1"/>
      <c r="K45" s="1"/>
      <c r="O45" s="46">
        <v>39</v>
      </c>
      <c r="P45" s="42">
        <f t="shared" si="18"/>
        <v>2067</v>
      </c>
      <c r="Q45" s="28">
        <f t="shared" si="19"/>
        <v>0.26141250458139786</v>
      </c>
      <c r="R45" s="26">
        <f t="shared" si="20"/>
        <v>1.4741225085031895</v>
      </c>
      <c r="S45" s="26">
        <f t="shared" ref="S45:S65" si="29">$S$43</f>
        <v>1.6921186295957242</v>
      </c>
      <c r="T45" s="26">
        <f t="shared" si="21"/>
        <v>0.38535405700763176</v>
      </c>
      <c r="U45" s="26">
        <f t="shared" si="15"/>
        <v>0.65206477885290648</v>
      </c>
      <c r="V45" s="29">
        <f t="shared" si="27"/>
        <v>14361.031221113159</v>
      </c>
      <c r="W45" s="29">
        <f t="shared" si="22"/>
        <v>3260.3238942645326</v>
      </c>
      <c r="X45" s="29">
        <f t="shared" si="23"/>
        <v>652.06477885290644</v>
      </c>
      <c r="Y45" s="29">
        <f t="shared" si="24"/>
        <v>0</v>
      </c>
      <c r="Z45" s="29">
        <f t="shared" si="25"/>
        <v>0</v>
      </c>
      <c r="AA45" s="29">
        <f t="shared" si="26"/>
        <v>0</v>
      </c>
      <c r="AB45" s="29">
        <f t="shared" si="10"/>
        <v>3912.3886731174389</v>
      </c>
      <c r="AC45" s="29">
        <f t="shared" si="28"/>
        <v>0</v>
      </c>
      <c r="AD45" s="29">
        <f t="shared" si="16"/>
        <v>737.79101786966544</v>
      </c>
      <c r="AE45" s="47">
        <f t="shared" si="12"/>
        <v>192.8677978389681</v>
      </c>
      <c r="AF45" s="1"/>
      <c r="AG45" s="1"/>
      <c r="AH45" s="1"/>
      <c r="AI45" s="1"/>
      <c r="AJ45" s="1"/>
    </row>
    <row r="46" spans="2:36" x14ac:dyDescent="0.25">
      <c r="B46" s="97"/>
      <c r="C46" s="97"/>
      <c r="D46" s="97"/>
      <c r="E46" s="97"/>
      <c r="F46" s="1"/>
      <c r="O46" s="46">
        <v>40</v>
      </c>
      <c r="P46" s="27">
        <f t="shared" si="18"/>
        <v>2068</v>
      </c>
      <c r="Q46" s="28">
        <f t="shared" si="19"/>
        <v>0.25257246819458734</v>
      </c>
      <c r="R46" s="26">
        <f t="shared" si="20"/>
        <v>1.4888637335882215</v>
      </c>
      <c r="S46" s="26">
        <f t="shared" si="29"/>
        <v>1.6921186295957242</v>
      </c>
      <c r="T46" s="26">
        <f t="shared" si="21"/>
        <v>0.37604598799778566</v>
      </c>
      <c r="U46" s="26">
        <f>S46*T46</f>
        <v>0.63631442187578324</v>
      </c>
      <c r="V46" s="29">
        <f t="shared" si="27"/>
        <v>14361.031221113159</v>
      </c>
      <c r="W46" s="29">
        <f t="shared" si="22"/>
        <v>3181.5721093789161</v>
      </c>
      <c r="X46" s="29">
        <f t="shared" si="23"/>
        <v>636.3144218757833</v>
      </c>
      <c r="Y46" s="29">
        <f t="shared" si="24"/>
        <v>0</v>
      </c>
      <c r="Z46" s="29">
        <f t="shared" si="25"/>
        <v>0</v>
      </c>
      <c r="AA46" s="29">
        <f t="shared" si="26"/>
        <v>0</v>
      </c>
      <c r="AB46" s="29">
        <f t="shared" si="10"/>
        <v>3817.8865312546995</v>
      </c>
      <c r="AC46" s="29">
        <f t="shared" si="28"/>
        <v>0</v>
      </c>
      <c r="AD46" s="29">
        <f t="shared" si="16"/>
        <v>745.16892804836209</v>
      </c>
      <c r="AE46" s="47">
        <f t="shared" si="12"/>
        <v>188.20915537908968</v>
      </c>
      <c r="AF46" s="1"/>
      <c r="AG46" s="1"/>
      <c r="AH46" s="1"/>
      <c r="AI46" s="1"/>
      <c r="AJ46" s="1"/>
    </row>
    <row r="47" spans="2:36" x14ac:dyDescent="0.25">
      <c r="B47" s="97"/>
      <c r="C47" s="97"/>
      <c r="D47" s="97"/>
      <c r="E47" s="97"/>
      <c r="F47" s="1"/>
      <c r="O47" s="46">
        <v>41</v>
      </c>
      <c r="P47" s="41">
        <f t="shared" si="18"/>
        <v>2069</v>
      </c>
      <c r="Q47" s="28">
        <f t="shared" si="19"/>
        <v>0.24403137023631633</v>
      </c>
      <c r="R47" s="26">
        <f t="shared" si="20"/>
        <v>1.5037523709241036</v>
      </c>
      <c r="S47" s="26">
        <f t="shared" si="29"/>
        <v>1.6921186295957242</v>
      </c>
      <c r="T47" s="26">
        <f t="shared" si="21"/>
        <v>0.3669627515727184</v>
      </c>
      <c r="U47" s="26">
        <f t="shared" si="15"/>
        <v>0.62094450830390446</v>
      </c>
      <c r="V47" s="29">
        <f t="shared" si="27"/>
        <v>14361.031221113159</v>
      </c>
      <c r="W47" s="26">
        <f t="shared" si="22"/>
        <v>3104.7225415195221</v>
      </c>
      <c r="X47" s="26">
        <f t="shared" si="23"/>
        <v>620.94450830390451</v>
      </c>
      <c r="Y47" s="26">
        <f t="shared" si="24"/>
        <v>0</v>
      </c>
      <c r="Z47" s="26">
        <f t="shared" si="25"/>
        <v>0</v>
      </c>
      <c r="AA47" s="26">
        <f t="shared" si="26"/>
        <v>0</v>
      </c>
      <c r="AB47" s="26">
        <f t="shared" si="10"/>
        <v>3725.6670498234266</v>
      </c>
      <c r="AC47" s="26">
        <f t="shared" si="28"/>
        <v>0</v>
      </c>
      <c r="AD47" s="29">
        <f t="shared" si="16"/>
        <v>752.6206173288457</v>
      </c>
      <c r="AE47" s="48">
        <f t="shared" si="12"/>
        <v>183.66304051486048</v>
      </c>
      <c r="AF47" s="1"/>
      <c r="AG47" s="1"/>
      <c r="AH47" s="1"/>
      <c r="AI47" s="1"/>
      <c r="AJ47" s="1"/>
    </row>
    <row r="48" spans="2:36" x14ac:dyDescent="0.25">
      <c r="B48" s="97"/>
      <c r="C48" s="97"/>
      <c r="D48" s="97"/>
      <c r="E48" s="97"/>
      <c r="F48" s="1"/>
      <c r="O48" s="46">
        <v>42</v>
      </c>
      <c r="P48" s="42">
        <f t="shared" si="18"/>
        <v>2070</v>
      </c>
      <c r="Q48" s="28">
        <f t="shared" si="19"/>
        <v>0.2357791016776003</v>
      </c>
      <c r="R48" s="26">
        <f t="shared" si="20"/>
        <v>1.5187898946333442</v>
      </c>
      <c r="S48" s="26">
        <f t="shared" si="29"/>
        <v>1.6921186295957242</v>
      </c>
      <c r="T48" s="26">
        <f t="shared" si="21"/>
        <v>0.35809891699366714</v>
      </c>
      <c r="U48" s="26">
        <f t="shared" si="15"/>
        <v>0.60594584868303702</v>
      </c>
      <c r="V48" s="29">
        <f t="shared" si="27"/>
        <v>14361.031221113159</v>
      </c>
      <c r="W48" s="26">
        <f t="shared" si="22"/>
        <v>3029.729243415185</v>
      </c>
      <c r="X48" s="26">
        <f t="shared" si="23"/>
        <v>605.94584868303707</v>
      </c>
      <c r="Y48" s="26">
        <f t="shared" si="24"/>
        <v>0</v>
      </c>
      <c r="Z48" s="26">
        <f t="shared" si="25"/>
        <v>0</v>
      </c>
      <c r="AA48" s="26">
        <f t="shared" si="26"/>
        <v>0</v>
      </c>
      <c r="AB48" s="26">
        <f t="shared" si="10"/>
        <v>3635.6750920982222</v>
      </c>
      <c r="AC48" s="26">
        <f t="shared" si="28"/>
        <v>0</v>
      </c>
      <c r="AD48" s="29">
        <f t="shared" si="16"/>
        <v>760.14682350213411</v>
      </c>
      <c r="AE48" s="48">
        <f t="shared" si="12"/>
        <v>179.22673518841458</v>
      </c>
      <c r="AF48" s="1"/>
      <c r="AG48" s="1"/>
      <c r="AH48" s="1"/>
      <c r="AI48" s="1"/>
      <c r="AJ48" s="1"/>
    </row>
    <row r="49" spans="2:36" x14ac:dyDescent="0.25">
      <c r="B49" s="97"/>
      <c r="C49" s="97"/>
      <c r="D49" s="97"/>
      <c r="E49" s="97"/>
      <c r="F49" s="1"/>
      <c r="O49" s="46">
        <v>43</v>
      </c>
      <c r="P49" s="42">
        <f t="shared" si="18"/>
        <v>2071</v>
      </c>
      <c r="Q49" s="28">
        <f t="shared" si="19"/>
        <v>0.22780589534067661</v>
      </c>
      <c r="R49" s="26">
        <f t="shared" si="20"/>
        <v>1.5339777935796777</v>
      </c>
      <c r="S49" s="26">
        <f t="shared" si="29"/>
        <v>1.6921186295957242</v>
      </c>
      <c r="T49" s="26">
        <f t="shared" si="21"/>
        <v>0.34944918469913405</v>
      </c>
      <c r="U49" s="26">
        <f t="shared" si="15"/>
        <v>0.59130947552644186</v>
      </c>
      <c r="V49" s="29">
        <f t="shared" si="27"/>
        <v>14361.031221113159</v>
      </c>
      <c r="W49" s="26">
        <f t="shared" si="22"/>
        <v>2956.5473776322092</v>
      </c>
      <c r="X49" s="26">
        <f t="shared" si="23"/>
        <v>591.30947552644182</v>
      </c>
      <c r="Y49" s="26">
        <f t="shared" si="24"/>
        <v>0</v>
      </c>
      <c r="Z49" s="26">
        <f t="shared" si="25"/>
        <v>0</v>
      </c>
      <c r="AA49" s="26">
        <f t="shared" si="26"/>
        <v>0</v>
      </c>
      <c r="AB49" s="26">
        <f t="shared" si="10"/>
        <v>3547.8568531586511</v>
      </c>
      <c r="AC49" s="26">
        <f t="shared" si="28"/>
        <v>0</v>
      </c>
      <c r="AD49" s="29">
        <f t="shared" si="16"/>
        <v>767.74829173715545</v>
      </c>
      <c r="AE49" s="48">
        <f t="shared" si="12"/>
        <v>174.89758699545769</v>
      </c>
      <c r="AF49" s="1"/>
      <c r="AG49" s="1"/>
      <c r="AH49" s="1"/>
      <c r="AI49" s="1"/>
      <c r="AJ49" s="1"/>
    </row>
    <row r="50" spans="2:36" x14ac:dyDescent="0.25">
      <c r="B50" s="97"/>
      <c r="C50" s="97"/>
      <c r="D50" s="97"/>
      <c r="E50" s="97"/>
      <c r="F50" s="1"/>
      <c r="O50" s="46">
        <v>44</v>
      </c>
      <c r="P50" s="41">
        <f t="shared" si="18"/>
        <v>2072</v>
      </c>
      <c r="Q50" s="28">
        <f t="shared" si="19"/>
        <v>0.22010231433881802</v>
      </c>
      <c r="R50" s="26">
        <f t="shared" si="20"/>
        <v>1.5493175715154746</v>
      </c>
      <c r="S50" s="26">
        <f t="shared" si="29"/>
        <v>1.6921186295957242</v>
      </c>
      <c r="T50" s="26">
        <f t="shared" si="21"/>
        <v>0.34100838313635318</v>
      </c>
      <c r="U50" s="26">
        <f t="shared" si="15"/>
        <v>0.57702663795333964</v>
      </c>
      <c r="V50" s="29">
        <f t="shared" si="27"/>
        <v>14361.031221113159</v>
      </c>
      <c r="W50" s="26">
        <f t="shared" si="22"/>
        <v>2885.1331897666983</v>
      </c>
      <c r="X50" s="26">
        <f t="shared" si="23"/>
        <v>577.02663795333967</v>
      </c>
      <c r="Y50" s="26">
        <f t="shared" si="24"/>
        <v>0</v>
      </c>
      <c r="Z50" s="26">
        <f t="shared" si="25"/>
        <v>0</v>
      </c>
      <c r="AA50" s="26">
        <f t="shared" si="26"/>
        <v>0</v>
      </c>
      <c r="AB50" s="26">
        <f t="shared" si="10"/>
        <v>3462.1598277200378</v>
      </c>
      <c r="AC50" s="26">
        <f t="shared" si="28"/>
        <v>0</v>
      </c>
      <c r="AD50" s="29">
        <f t="shared" si="16"/>
        <v>775.425774654527</v>
      </c>
      <c r="AE50" s="48">
        <f t="shared" si="12"/>
        <v>170.67300759943217</v>
      </c>
      <c r="AF50" s="1"/>
      <c r="AG50" s="1"/>
      <c r="AH50" s="1"/>
      <c r="AI50" s="1"/>
      <c r="AJ50" s="1"/>
    </row>
    <row r="51" spans="2:36" x14ac:dyDescent="0.25">
      <c r="B51" s="97"/>
      <c r="C51" s="97"/>
      <c r="D51" s="97"/>
      <c r="E51" s="97"/>
      <c r="F51" s="1"/>
      <c r="O51" s="46">
        <v>45</v>
      </c>
      <c r="P51" s="41">
        <f t="shared" si="18"/>
        <v>2073</v>
      </c>
      <c r="Q51" s="28">
        <f t="shared" si="19"/>
        <v>0.21265924090707056</v>
      </c>
      <c r="R51" s="26">
        <f t="shared" si="20"/>
        <v>1.5648107472306296</v>
      </c>
      <c r="S51" s="26">
        <f t="shared" si="29"/>
        <v>1.6921186295957242</v>
      </c>
      <c r="T51" s="26">
        <f t="shared" si="21"/>
        <v>0.33277146566929156</v>
      </c>
      <c r="U51" s="26">
        <f t="shared" si="15"/>
        <v>0.56308879645688226</v>
      </c>
      <c r="V51" s="29">
        <f t="shared" si="27"/>
        <v>14361.031221113159</v>
      </c>
      <c r="W51" s="26">
        <f t="shared" si="22"/>
        <v>2815.4439822844115</v>
      </c>
      <c r="X51" s="26">
        <f t="shared" si="23"/>
        <v>563.08879645688228</v>
      </c>
      <c r="Y51" s="26">
        <f t="shared" si="24"/>
        <v>0</v>
      </c>
      <c r="Z51" s="26">
        <f t="shared" si="25"/>
        <v>0</v>
      </c>
      <c r="AA51" s="26">
        <f t="shared" si="26"/>
        <v>0</v>
      </c>
      <c r="AB51" s="26">
        <f t="shared" si="10"/>
        <v>3378.5327787412939</v>
      </c>
      <c r="AC51" s="26">
        <f t="shared" si="28"/>
        <v>0</v>
      </c>
      <c r="AD51" s="29">
        <f t="shared" si="16"/>
        <v>783.18003240107225</v>
      </c>
      <c r="AE51" s="48">
        <f t="shared" si="12"/>
        <v>166.55047118398696</v>
      </c>
      <c r="AF51" s="1"/>
      <c r="AG51" s="1"/>
      <c r="AH51" s="1"/>
      <c r="AI51" s="1"/>
      <c r="AJ51" s="1"/>
    </row>
    <row r="52" spans="2:36" x14ac:dyDescent="0.25">
      <c r="B52" s="97"/>
      <c r="C52" s="97"/>
      <c r="D52" s="97"/>
      <c r="E52" s="97"/>
      <c r="F52" s="1"/>
      <c r="O52" s="46">
        <v>46</v>
      </c>
      <c r="P52" s="41">
        <f t="shared" si="18"/>
        <v>2074</v>
      </c>
      <c r="Q52" s="28">
        <f t="shared" si="19"/>
        <v>0.20546786561069619</v>
      </c>
      <c r="R52" s="26">
        <f t="shared" si="20"/>
        <v>1.5804588547029355</v>
      </c>
      <c r="S52" s="26">
        <f t="shared" si="29"/>
        <v>1.6921186295957242</v>
      </c>
      <c r="T52" s="26">
        <f t="shared" si="21"/>
        <v>0.32473350756133756</v>
      </c>
      <c r="U52" s="26">
        <f t="shared" si="15"/>
        <v>0.5494876177985033</v>
      </c>
      <c r="V52" s="29">
        <f t="shared" si="27"/>
        <v>14361.031221113159</v>
      </c>
      <c r="W52" s="26">
        <f t="shared" si="22"/>
        <v>2747.4380889925164</v>
      </c>
      <c r="X52" s="26">
        <f t="shared" si="23"/>
        <v>549.48761779850327</v>
      </c>
      <c r="Y52" s="26">
        <f t="shared" si="24"/>
        <v>0</v>
      </c>
      <c r="Z52" s="26">
        <f t="shared" si="25"/>
        <v>0</v>
      </c>
      <c r="AA52" s="26">
        <f t="shared" si="26"/>
        <v>0</v>
      </c>
      <c r="AB52" s="26">
        <f t="shared" si="10"/>
        <v>3296.9257067910198</v>
      </c>
      <c r="AC52" s="26">
        <f t="shared" si="28"/>
        <v>0</v>
      </c>
      <c r="AD52" s="29">
        <f t="shared" si="16"/>
        <v>791.01183272508297</v>
      </c>
      <c r="AE52" s="48">
        <f t="shared" si="12"/>
        <v>162.52751294282783</v>
      </c>
      <c r="AF52" s="1"/>
      <c r="AG52" s="1"/>
      <c r="AH52" s="1"/>
      <c r="AI52" s="1"/>
      <c r="AJ52" s="1"/>
    </row>
    <row r="53" spans="2:36" ht="13" x14ac:dyDescent="0.25">
      <c r="B53" s="97"/>
      <c r="C53" s="98"/>
      <c r="D53" s="98"/>
      <c r="E53" s="97"/>
      <c r="F53" s="1"/>
      <c r="O53" s="46">
        <v>47</v>
      </c>
      <c r="P53" s="41">
        <f t="shared" si="18"/>
        <v>2075</v>
      </c>
      <c r="Q53" s="28">
        <f t="shared" si="19"/>
        <v>0.19851967691854708</v>
      </c>
      <c r="R53" s="26">
        <f t="shared" si="20"/>
        <v>1.5962634432499652</v>
      </c>
      <c r="S53" s="26">
        <f t="shared" si="29"/>
        <v>1.6921186295957242</v>
      </c>
      <c r="T53" s="26">
        <f t="shared" si="21"/>
        <v>0.31688970303087061</v>
      </c>
      <c r="U53" s="26">
        <f t="shared" si="15"/>
        <v>0.53621497002559282</v>
      </c>
      <c r="V53" s="29">
        <f t="shared" si="27"/>
        <v>14361.031221113159</v>
      </c>
      <c r="W53" s="26">
        <f t="shared" si="22"/>
        <v>2681.0748501279641</v>
      </c>
      <c r="X53" s="26">
        <f t="shared" si="23"/>
        <v>536.21497002559283</v>
      </c>
      <c r="Y53" s="26">
        <f t="shared" si="24"/>
        <v>0</v>
      </c>
      <c r="Z53" s="26">
        <f t="shared" si="25"/>
        <v>0</v>
      </c>
      <c r="AA53" s="26">
        <f t="shared" si="26"/>
        <v>0</v>
      </c>
      <c r="AB53" s="26">
        <f t="shared" si="10"/>
        <v>3217.2898201535568</v>
      </c>
      <c r="AC53" s="26">
        <f t="shared" si="28"/>
        <v>0</v>
      </c>
      <c r="AD53" s="29">
        <f t="shared" si="16"/>
        <v>798.92195105233384</v>
      </c>
      <c r="AE53" s="48">
        <f t="shared" si="12"/>
        <v>158.60172760604459</v>
      </c>
      <c r="AF53" s="1"/>
      <c r="AG53" s="1"/>
      <c r="AH53" s="1"/>
      <c r="AI53" s="1"/>
      <c r="AJ53" s="1"/>
    </row>
    <row r="54" spans="2:36" x14ac:dyDescent="0.25">
      <c r="F54" s="1"/>
      <c r="O54" s="46">
        <v>48</v>
      </c>
      <c r="P54" s="41">
        <f t="shared" si="18"/>
        <v>2076</v>
      </c>
      <c r="Q54" s="28">
        <f t="shared" si="19"/>
        <v>0.19180645112903102</v>
      </c>
      <c r="R54" s="26">
        <f t="shared" si="20"/>
        <v>1.6122260776824648</v>
      </c>
      <c r="S54" s="26">
        <f t="shared" si="29"/>
        <v>1.6921186295957242</v>
      </c>
      <c r="T54" s="26">
        <f t="shared" si="21"/>
        <v>0.30923536237795107</v>
      </c>
      <c r="U54" s="26">
        <f t="shared" si="15"/>
        <v>0.52326291760951571</v>
      </c>
      <c r="V54" s="29">
        <f t="shared" si="27"/>
        <v>14361.031221113159</v>
      </c>
      <c r="W54" s="26">
        <f t="shared" si="22"/>
        <v>2616.3145880475786</v>
      </c>
      <c r="X54" s="26">
        <f t="shared" si="23"/>
        <v>523.26291760951574</v>
      </c>
      <c r="Y54" s="26">
        <f t="shared" si="24"/>
        <v>0</v>
      </c>
      <c r="Z54" s="26">
        <f t="shared" si="25"/>
        <v>0</v>
      </c>
      <c r="AA54" s="26">
        <f t="shared" si="26"/>
        <v>0</v>
      </c>
      <c r="AB54" s="26">
        <f t="shared" si="10"/>
        <v>3139.5775056570942</v>
      </c>
      <c r="AC54" s="26">
        <f t="shared" si="28"/>
        <v>0</v>
      </c>
      <c r="AD54" s="29">
        <f t="shared" si="16"/>
        <v>806.91117056285714</v>
      </c>
      <c r="AE54" s="48">
        <f t="shared" si="12"/>
        <v>154.77076800203386</v>
      </c>
      <c r="AF54" s="1"/>
      <c r="AG54" s="1"/>
      <c r="AH54" s="1"/>
      <c r="AI54" s="1"/>
      <c r="AJ54" s="1"/>
    </row>
    <row r="55" spans="2:36" x14ac:dyDescent="0.25">
      <c r="O55" s="46">
        <v>49</v>
      </c>
      <c r="P55" s="41">
        <f t="shared" si="18"/>
        <v>2077</v>
      </c>
      <c r="Q55" s="28">
        <f t="shared" si="19"/>
        <v>0.18532024263674499</v>
      </c>
      <c r="R55" s="26">
        <f t="shared" si="20"/>
        <v>1.6283483384592896</v>
      </c>
      <c r="S55" s="26">
        <f t="shared" si="29"/>
        <v>1.6921186295957242</v>
      </c>
      <c r="T55" s="26">
        <f t="shared" si="21"/>
        <v>0.30176590918041613</v>
      </c>
      <c r="U55" s="26">
        <f t="shared" si="15"/>
        <v>0.51062371670107354</v>
      </c>
      <c r="V55" s="29">
        <f t="shared" si="27"/>
        <v>14361.031221113159</v>
      </c>
      <c r="W55" s="26">
        <f t="shared" si="22"/>
        <v>2553.1185835053675</v>
      </c>
      <c r="X55" s="26">
        <f t="shared" si="23"/>
        <v>510.62371670107353</v>
      </c>
      <c r="Y55" s="26">
        <f t="shared" si="24"/>
        <v>0</v>
      </c>
      <c r="Z55" s="26">
        <f t="shared" si="25"/>
        <v>0</v>
      </c>
      <c r="AA55" s="26">
        <f t="shared" si="26"/>
        <v>0</v>
      </c>
      <c r="AB55" s="26">
        <f t="shared" si="10"/>
        <v>3063.7423002064411</v>
      </c>
      <c r="AC55" s="26">
        <f t="shared" si="28"/>
        <v>0</v>
      </c>
      <c r="AD55" s="29">
        <f t="shared" si="16"/>
        <v>814.98028226848567</v>
      </c>
      <c r="AE55" s="48">
        <f t="shared" si="12"/>
        <v>151.03234365415869</v>
      </c>
      <c r="AF55" s="1"/>
      <c r="AG55" s="1"/>
      <c r="AH55" s="1"/>
      <c r="AI55" s="1"/>
      <c r="AJ55" s="1"/>
    </row>
    <row r="56" spans="2:36" x14ac:dyDescent="0.25">
      <c r="O56" s="46">
        <v>50</v>
      </c>
      <c r="P56" s="41">
        <f t="shared" si="18"/>
        <v>2078</v>
      </c>
      <c r="Q56" s="28">
        <f t="shared" si="19"/>
        <v>0.17905337452825601</v>
      </c>
      <c r="R56" s="26">
        <f t="shared" si="20"/>
        <v>1.6446318218438822</v>
      </c>
      <c r="S56" s="26">
        <f t="shared" si="29"/>
        <v>1.6921186295957242</v>
      </c>
      <c r="T56" s="26">
        <f t="shared" si="21"/>
        <v>0.29447687755770063</v>
      </c>
      <c r="U56" s="26">
        <f t="shared" si="15"/>
        <v>0.49828981050056426</v>
      </c>
      <c r="V56" s="29">
        <f t="shared" si="27"/>
        <v>14361.031221113159</v>
      </c>
      <c r="W56" s="26">
        <f t="shared" si="22"/>
        <v>2491.4490525028214</v>
      </c>
      <c r="X56" s="26">
        <f t="shared" si="23"/>
        <v>498.28981050056427</v>
      </c>
      <c r="Y56" s="26">
        <f t="shared" si="24"/>
        <v>0</v>
      </c>
      <c r="Z56" s="26">
        <f t="shared" si="25"/>
        <v>0</v>
      </c>
      <c r="AA56" s="26">
        <f t="shared" si="26"/>
        <v>0</v>
      </c>
      <c r="AB56" s="26">
        <f t="shared" si="10"/>
        <v>2989.7388630033856</v>
      </c>
      <c r="AC56" s="26">
        <f t="shared" si="28"/>
        <v>0</v>
      </c>
      <c r="AD56" s="29">
        <f t="shared" si="16"/>
        <v>823.13008509117049</v>
      </c>
      <c r="AE56" s="48">
        <f t="shared" si="12"/>
        <v>147.3842194113046</v>
      </c>
      <c r="AF56" s="1"/>
      <c r="AG56" s="1"/>
      <c r="AH56" s="1"/>
      <c r="AI56" s="1"/>
      <c r="AJ56" s="1"/>
    </row>
    <row r="57" spans="2:36" x14ac:dyDescent="0.25">
      <c r="O57" s="46">
        <v>51</v>
      </c>
      <c r="P57" s="41">
        <f t="shared" si="18"/>
        <v>2079</v>
      </c>
      <c r="Q57" s="28">
        <f t="shared" si="19"/>
        <v>0.17299842949589955</v>
      </c>
      <c r="R57" s="26">
        <f t="shared" si="20"/>
        <v>1.6610781400623211</v>
      </c>
      <c r="S57" s="26">
        <f t="shared" si="29"/>
        <v>1.6921186295957242</v>
      </c>
      <c r="T57" s="26">
        <f t="shared" si="21"/>
        <v>0.28736390950075141</v>
      </c>
      <c r="U57" s="26">
        <f t="shared" si="15"/>
        <v>0.48625382473968121</v>
      </c>
      <c r="V57" s="29">
        <f t="shared" si="27"/>
        <v>14361.031221113159</v>
      </c>
      <c r="W57" s="26">
        <f t="shared" si="22"/>
        <v>2431.269123698406</v>
      </c>
      <c r="X57" s="26">
        <f t="shared" si="23"/>
        <v>486.25382473968119</v>
      </c>
      <c r="Y57" s="26">
        <f t="shared" si="24"/>
        <v>0</v>
      </c>
      <c r="Z57" s="26">
        <f t="shared" si="25"/>
        <v>0</v>
      </c>
      <c r="AA57" s="26">
        <f t="shared" si="26"/>
        <v>0</v>
      </c>
      <c r="AB57" s="26">
        <f t="shared" si="10"/>
        <v>2917.522948438087</v>
      </c>
      <c r="AC57" s="26">
        <f t="shared" si="28"/>
        <v>0</v>
      </c>
      <c r="AD57" s="29">
        <f t="shared" si="16"/>
        <v>831.36138594208217</v>
      </c>
      <c r="AE57" s="48">
        <f t="shared" si="12"/>
        <v>143.82421411151464</v>
      </c>
      <c r="AF57" s="1"/>
      <c r="AG57" s="1"/>
      <c r="AH57" s="1"/>
      <c r="AI57" s="1"/>
      <c r="AJ57" s="1"/>
    </row>
    <row r="58" spans="2:36" x14ac:dyDescent="0.25">
      <c r="O58" s="46">
        <v>52</v>
      </c>
      <c r="P58" s="41">
        <f t="shared" si="18"/>
        <v>2080</v>
      </c>
      <c r="Q58" s="28">
        <f t="shared" si="19"/>
        <v>0.16714824105884016</v>
      </c>
      <c r="R58" s="26">
        <f t="shared" si="20"/>
        <v>1.6776889214629445</v>
      </c>
      <c r="S58" s="26">
        <f t="shared" si="29"/>
        <v>1.6921186295957242</v>
      </c>
      <c r="T58" s="26">
        <f t="shared" si="21"/>
        <v>0.28042275226643382</v>
      </c>
      <c r="U58" s="26">
        <f t="shared" si="15"/>
        <v>0.47450856327253926</v>
      </c>
      <c r="V58" s="29">
        <f t="shared" si="27"/>
        <v>14361.031221113159</v>
      </c>
      <c r="W58" s="26">
        <f t="shared" si="22"/>
        <v>2372.5428163626962</v>
      </c>
      <c r="X58" s="26">
        <f t="shared" si="23"/>
        <v>474.50856327253928</v>
      </c>
      <c r="Y58" s="26">
        <f t="shared" si="24"/>
        <v>0</v>
      </c>
      <c r="Z58" s="26">
        <f t="shared" si="25"/>
        <v>0</v>
      </c>
      <c r="AA58" s="26">
        <f t="shared" si="26"/>
        <v>0</v>
      </c>
      <c r="AB58" s="26">
        <f t="shared" si="10"/>
        <v>2847.0513796352352</v>
      </c>
      <c r="AC58" s="26">
        <f t="shared" si="28"/>
        <v>0</v>
      </c>
      <c r="AD58" s="29">
        <f t="shared" si="16"/>
        <v>839.67499980150296</v>
      </c>
      <c r="AE58" s="48">
        <f t="shared" si="12"/>
        <v>140.35019927790319</v>
      </c>
      <c r="AF58" s="1"/>
      <c r="AG58" s="1"/>
      <c r="AH58" s="1"/>
      <c r="AI58" s="1"/>
      <c r="AJ58" s="1"/>
    </row>
    <row r="59" spans="2:36" x14ac:dyDescent="0.25">
      <c r="O59" s="46">
        <v>53</v>
      </c>
      <c r="P59" s="41">
        <f t="shared" si="18"/>
        <v>2081</v>
      </c>
      <c r="Q59" s="28">
        <f t="shared" si="19"/>
        <v>0.16149588508100501</v>
      </c>
      <c r="R59" s="26">
        <f t="shared" si="20"/>
        <v>1.6944658106775741</v>
      </c>
      <c r="S59" s="26">
        <f t="shared" si="29"/>
        <v>1.6921186295957242</v>
      </c>
      <c r="T59" s="26">
        <f t="shared" si="21"/>
        <v>0.27364925583487748</v>
      </c>
      <c r="U59" s="26">
        <f t="shared" si="15"/>
        <v>0.46304700377320263</v>
      </c>
      <c r="V59" s="29">
        <f t="shared" si="27"/>
        <v>14361.031221113159</v>
      </c>
      <c r="W59" s="26">
        <f t="shared" si="22"/>
        <v>2315.235018866013</v>
      </c>
      <c r="X59" s="26">
        <f t="shared" si="23"/>
        <v>463.04700377320262</v>
      </c>
      <c r="Y59" s="26">
        <f t="shared" si="24"/>
        <v>0</v>
      </c>
      <c r="Z59" s="26">
        <f t="shared" si="25"/>
        <v>0</v>
      </c>
      <c r="AA59" s="26">
        <f t="shared" si="26"/>
        <v>0</v>
      </c>
      <c r="AB59" s="26">
        <f t="shared" si="10"/>
        <v>2778.2820226392155</v>
      </c>
      <c r="AC59" s="26">
        <f t="shared" si="28"/>
        <v>0</v>
      </c>
      <c r="AD59" s="29">
        <f t="shared" si="16"/>
        <v>848.07174979951799</v>
      </c>
      <c r="AE59" s="48">
        <f t="shared" si="12"/>
        <v>136.9600978460698</v>
      </c>
      <c r="AF59" s="1"/>
      <c r="AG59" s="1"/>
      <c r="AH59" s="1"/>
      <c r="AI59" s="1"/>
      <c r="AJ59" s="1"/>
    </row>
    <row r="60" spans="2:36" x14ac:dyDescent="0.25">
      <c r="O60" s="46">
        <v>54</v>
      </c>
      <c r="P60" s="41">
        <f t="shared" si="18"/>
        <v>2082</v>
      </c>
      <c r="Q60" s="28">
        <f t="shared" si="19"/>
        <v>0.15603467157585027</v>
      </c>
      <c r="R60" s="26">
        <f t="shared" si="20"/>
        <v>1.7114104687843492</v>
      </c>
      <c r="S60" s="26">
        <f t="shared" si="29"/>
        <v>1.6921186295957242</v>
      </c>
      <c r="T60" s="26">
        <f t="shared" si="21"/>
        <v>0.26703937042823789</v>
      </c>
      <c r="U60" s="26">
        <f t="shared" si="15"/>
        <v>0.45186229353713486</v>
      </c>
      <c r="V60" s="29">
        <f t="shared" si="27"/>
        <v>14361.031221113159</v>
      </c>
      <c r="W60" s="26">
        <f t="shared" si="22"/>
        <v>2259.3114676856744</v>
      </c>
      <c r="X60" s="26">
        <f t="shared" si="23"/>
        <v>451.86229353713486</v>
      </c>
      <c r="Y60" s="26">
        <f t="shared" si="24"/>
        <v>0</v>
      </c>
      <c r="Z60" s="26">
        <f t="shared" si="25"/>
        <v>0</v>
      </c>
      <c r="AA60" s="26">
        <f t="shared" si="26"/>
        <v>0</v>
      </c>
      <c r="AB60" s="26">
        <f t="shared" si="10"/>
        <v>2711.1737612228094</v>
      </c>
      <c r="AC60" s="26">
        <f t="shared" si="28"/>
        <v>0</v>
      </c>
      <c r="AD60" s="29">
        <f t="shared" si="16"/>
        <v>856.5524672975132</v>
      </c>
      <c r="AE60" s="48">
        <f t="shared" si="12"/>
        <v>133.6518829222517</v>
      </c>
      <c r="AF60" s="1"/>
      <c r="AG60" s="1"/>
      <c r="AH60" s="1"/>
      <c r="AI60" s="1"/>
      <c r="AJ60" s="1"/>
    </row>
    <row r="61" spans="2:36" x14ac:dyDescent="0.25">
      <c r="O61" s="46">
        <v>55</v>
      </c>
      <c r="P61" s="41">
        <f t="shared" si="18"/>
        <v>2083</v>
      </c>
      <c r="Q61" s="28">
        <f t="shared" si="19"/>
        <v>0.15075813678826111</v>
      </c>
      <c r="R61" s="26">
        <f t="shared" si="20"/>
        <v>1.7285245734721932</v>
      </c>
      <c r="S61" s="26">
        <f t="shared" si="29"/>
        <v>1.6921186295957242</v>
      </c>
      <c r="T61" s="26">
        <f t="shared" si="21"/>
        <v>0.2605891440893916</v>
      </c>
      <c r="U61" s="26">
        <f t="shared" si="15"/>
        <v>0.44094774538406406</v>
      </c>
      <c r="V61" s="29">
        <f t="shared" si="27"/>
        <v>14361.031221113159</v>
      </c>
      <c r="W61" s="26">
        <f t="shared" si="22"/>
        <v>2204.7387269203205</v>
      </c>
      <c r="X61" s="26">
        <f t="shared" si="23"/>
        <v>440.94774538406404</v>
      </c>
      <c r="Y61" s="26">
        <f t="shared" si="24"/>
        <v>0</v>
      </c>
      <c r="Z61" s="26">
        <f t="shared" si="25"/>
        <v>0</v>
      </c>
      <c r="AA61" s="26">
        <f t="shared" si="26"/>
        <v>0</v>
      </c>
      <c r="AB61" s="26">
        <f t="shared" si="10"/>
        <v>2645.6864723043846</v>
      </c>
      <c r="AC61" s="26">
        <f t="shared" si="28"/>
        <v>0</v>
      </c>
      <c r="AD61" s="29">
        <f t="shared" si="16"/>
        <v>865.11799197048833</v>
      </c>
      <c r="AE61" s="48">
        <f t="shared" si="12"/>
        <v>130.42357657147267</v>
      </c>
      <c r="AF61" s="1"/>
      <c r="AG61" s="1"/>
      <c r="AH61" s="1"/>
      <c r="AI61" s="1"/>
      <c r="AJ61" s="1"/>
    </row>
    <row r="62" spans="2:36" x14ac:dyDescent="0.25">
      <c r="O62" s="46">
        <v>56</v>
      </c>
      <c r="P62" s="41">
        <f t="shared" si="18"/>
        <v>2084</v>
      </c>
      <c r="Q62" s="28">
        <f t="shared" si="19"/>
        <v>0.14566003554421367</v>
      </c>
      <c r="R62" s="26">
        <f t="shared" si="20"/>
        <v>1.7458098192069154</v>
      </c>
      <c r="S62" s="26">
        <f t="shared" si="29"/>
        <v>1.6921186295957242</v>
      </c>
      <c r="T62" s="26">
        <f t="shared" si="21"/>
        <v>0.25429472031911654</v>
      </c>
      <c r="U62" s="26">
        <f t="shared" si="15"/>
        <v>0.43029683365981147</v>
      </c>
      <c r="V62" s="29">
        <f t="shared" si="27"/>
        <v>14361.031221113159</v>
      </c>
      <c r="W62" s="26">
        <f t="shared" si="22"/>
        <v>2151.4841682990573</v>
      </c>
      <c r="X62" s="26">
        <f t="shared" si="23"/>
        <v>430.29683365981145</v>
      </c>
      <c r="Y62" s="26">
        <f t="shared" si="24"/>
        <v>0</v>
      </c>
      <c r="Z62" s="26">
        <f t="shared" si="25"/>
        <v>0</v>
      </c>
      <c r="AA62" s="26">
        <f t="shared" si="26"/>
        <v>0</v>
      </c>
      <c r="AB62" s="26">
        <f t="shared" si="10"/>
        <v>2581.7810019588687</v>
      </c>
      <c r="AC62" s="26">
        <f t="shared" si="28"/>
        <v>0</v>
      </c>
      <c r="AD62" s="29">
        <f t="shared" si="16"/>
        <v>873.76917189019321</v>
      </c>
      <c r="AE62" s="48">
        <f t="shared" si="12"/>
        <v>127.27324863496368</v>
      </c>
      <c r="AF62" s="1"/>
      <c r="AG62" s="1"/>
      <c r="AH62" s="1"/>
      <c r="AI62" s="1"/>
      <c r="AJ62" s="1"/>
    </row>
    <row r="63" spans="2:36" x14ac:dyDescent="0.25">
      <c r="O63" s="46">
        <v>57</v>
      </c>
      <c r="P63" s="41">
        <f t="shared" si="18"/>
        <v>2085</v>
      </c>
      <c r="Q63" s="28">
        <f t="shared" si="19"/>
        <v>0.14073433385914366</v>
      </c>
      <c r="R63" s="26">
        <f t="shared" si="20"/>
        <v>1.7632679173989847</v>
      </c>
      <c r="S63" s="26">
        <f t="shared" si="29"/>
        <v>1.6921186295957242</v>
      </c>
      <c r="T63" s="26">
        <f t="shared" si="21"/>
        <v>0.24815233577034565</v>
      </c>
      <c r="U63" s="26">
        <f t="shared" si="15"/>
        <v>0.41990319033469531</v>
      </c>
      <c r="V63" s="29">
        <f t="shared" si="27"/>
        <v>14361.031221113159</v>
      </c>
      <c r="W63" s="26">
        <f t="shared" si="22"/>
        <v>2099.5159516734766</v>
      </c>
      <c r="X63" s="26">
        <f t="shared" si="23"/>
        <v>419.9031903346953</v>
      </c>
      <c r="Y63" s="26">
        <f t="shared" si="24"/>
        <v>0</v>
      </c>
      <c r="Z63" s="26">
        <f t="shared" si="25"/>
        <v>0</v>
      </c>
      <c r="AA63" s="26">
        <f t="shared" si="26"/>
        <v>0</v>
      </c>
      <c r="AB63" s="26">
        <f t="shared" si="10"/>
        <v>2519.419142008172</v>
      </c>
      <c r="AC63" s="26">
        <f t="shared" si="28"/>
        <v>0</v>
      </c>
      <c r="AD63" s="29">
        <f t="shared" si="16"/>
        <v>882.50686360909515</v>
      </c>
      <c r="AE63" s="48">
        <f t="shared" si="12"/>
        <v>124.19901557614816</v>
      </c>
      <c r="AF63" s="1"/>
      <c r="AG63" s="1"/>
      <c r="AH63" s="1"/>
      <c r="AI63" s="1"/>
      <c r="AJ63" s="1"/>
    </row>
    <row r="64" spans="2:36" x14ac:dyDescent="0.25">
      <c r="O64" s="46">
        <v>58</v>
      </c>
      <c r="P64" s="41">
        <f t="shared" si="18"/>
        <v>2086</v>
      </c>
      <c r="Q64" s="28">
        <f t="shared" si="19"/>
        <v>0.13597520179627406</v>
      </c>
      <c r="R64" s="26">
        <f t="shared" si="20"/>
        <v>1.7809005965729741</v>
      </c>
      <c r="S64" s="26">
        <f t="shared" si="29"/>
        <v>1.6921186295957242</v>
      </c>
      <c r="T64" s="26">
        <f t="shared" si="21"/>
        <v>0.24215831799811502</v>
      </c>
      <c r="U64" s="26">
        <f t="shared" si="15"/>
        <v>0.40976060119617597</v>
      </c>
      <c r="V64" s="29">
        <f t="shared" si="27"/>
        <v>14361.031221113159</v>
      </c>
      <c r="W64" s="26">
        <f t="shared" si="22"/>
        <v>2048.8030059808798</v>
      </c>
      <c r="X64" s="26">
        <f t="shared" si="23"/>
        <v>409.76060119617597</v>
      </c>
      <c r="Y64" s="26">
        <f t="shared" si="24"/>
        <v>0</v>
      </c>
      <c r="Z64" s="26">
        <f t="shared" si="25"/>
        <v>0</v>
      </c>
      <c r="AA64" s="26">
        <f t="shared" si="26"/>
        <v>0</v>
      </c>
      <c r="AB64" s="26">
        <f t="shared" si="10"/>
        <v>2458.5636071770559</v>
      </c>
      <c r="AC64" s="26">
        <f t="shared" si="28"/>
        <v>0</v>
      </c>
      <c r="AD64" s="29">
        <f t="shared" si="16"/>
        <v>891.33193224518607</v>
      </c>
      <c r="AE64" s="48">
        <f t="shared" si="12"/>
        <v>121.19903935450206</v>
      </c>
      <c r="AF64" s="1"/>
      <c r="AG64" s="1"/>
      <c r="AH64" s="1"/>
      <c r="AI64" s="1"/>
      <c r="AJ64" s="1"/>
    </row>
    <row r="65" spans="3:36" ht="13" thickBot="1" x14ac:dyDescent="0.3">
      <c r="O65" s="64">
        <v>59</v>
      </c>
      <c r="P65" s="65">
        <f t="shared" si="18"/>
        <v>2087</v>
      </c>
      <c r="Q65" s="66">
        <f t="shared" si="19"/>
        <v>0.13137700656644835</v>
      </c>
      <c r="R65" s="67">
        <f t="shared" si="20"/>
        <v>1.7987096025387039</v>
      </c>
      <c r="S65" s="67">
        <f t="shared" si="29"/>
        <v>1.6921186295957242</v>
      </c>
      <c r="T65" s="67">
        <f t="shared" si="21"/>
        <v>0.23630908326386102</v>
      </c>
      <c r="U65" s="67">
        <f t="shared" si="15"/>
        <v>0.39986300213346643</v>
      </c>
      <c r="V65" s="29">
        <f t="shared" si="27"/>
        <v>14361.031221113159</v>
      </c>
      <c r="W65" s="67">
        <f t="shared" si="22"/>
        <v>1999.3150106673322</v>
      </c>
      <c r="X65" s="67">
        <f t="shared" si="23"/>
        <v>399.86300213346641</v>
      </c>
      <c r="Y65" s="67">
        <f t="shared" si="24"/>
        <v>0</v>
      </c>
      <c r="Z65" s="67">
        <f t="shared" si="25"/>
        <v>0</v>
      </c>
      <c r="AA65" s="67">
        <f t="shared" si="26"/>
        <v>0</v>
      </c>
      <c r="AB65" s="67">
        <f t="shared" si="10"/>
        <v>2399.1780128007986</v>
      </c>
      <c r="AC65" s="67">
        <f t="shared" si="28"/>
        <v>0</v>
      </c>
      <c r="AD65" s="29">
        <f t="shared" si="16"/>
        <v>900.24525156763798</v>
      </c>
      <c r="AE65" s="68">
        <f t="shared" si="12"/>
        <v>118.27152632661553</v>
      </c>
      <c r="AF65" s="1"/>
      <c r="AG65" s="1"/>
      <c r="AH65" s="1"/>
      <c r="AI65" s="1"/>
      <c r="AJ65" s="1"/>
    </row>
    <row r="66" spans="3:36" x14ac:dyDescent="0.25">
      <c r="C66" s="1"/>
      <c r="D66" s="1"/>
      <c r="E66" s="1"/>
      <c r="AF66" s="1"/>
      <c r="AG66" s="1"/>
      <c r="AH66" s="1"/>
      <c r="AI66" s="1"/>
      <c r="AJ66" s="1"/>
    </row>
    <row r="67" spans="3:36" x14ac:dyDescent="0.25">
      <c r="AF67" s="1"/>
      <c r="AG67" s="1"/>
      <c r="AH67" s="1"/>
      <c r="AI67" s="1"/>
      <c r="AJ67" s="1"/>
    </row>
    <row r="68" spans="3:36" x14ac:dyDescent="0.25">
      <c r="AF68" s="1"/>
      <c r="AG68" s="1"/>
      <c r="AH68" s="1"/>
      <c r="AI68" s="1"/>
      <c r="AJ68" s="1"/>
    </row>
    <row r="69" spans="3:36" x14ac:dyDescent="0.25">
      <c r="AF69" s="1"/>
      <c r="AG69" s="1"/>
      <c r="AH69" s="1"/>
      <c r="AI69" s="1"/>
      <c r="AJ69" s="1"/>
    </row>
    <row r="70" spans="3:36" x14ac:dyDescent="0.25">
      <c r="AF70" s="1"/>
      <c r="AG70" s="1"/>
      <c r="AH70" s="1"/>
      <c r="AI70" s="1"/>
      <c r="AJ70" s="1"/>
    </row>
    <row r="71" spans="3:36" x14ac:dyDescent="0.25">
      <c r="AF71" s="1"/>
      <c r="AG71" s="1"/>
      <c r="AH71" s="1"/>
      <c r="AI71" s="1"/>
      <c r="AJ71" s="1"/>
    </row>
    <row r="72" spans="3:36" x14ac:dyDescent="0.25">
      <c r="AF72" s="1"/>
      <c r="AG72" s="1"/>
      <c r="AH72" s="1"/>
      <c r="AI72" s="1"/>
      <c r="AJ72" s="1"/>
    </row>
    <row r="73" spans="3:36" x14ac:dyDescent="0.25">
      <c r="AF73" s="1"/>
      <c r="AG73" s="1"/>
      <c r="AH73" s="1"/>
      <c r="AI73" s="1"/>
      <c r="AJ73" s="1"/>
    </row>
    <row r="74" spans="3:36" x14ac:dyDescent="0.25">
      <c r="AF74" s="1"/>
      <c r="AG74" s="1"/>
      <c r="AH74" s="1"/>
      <c r="AI74" s="1"/>
      <c r="AJ74" s="1"/>
    </row>
    <row r="75" spans="3:36" x14ac:dyDescent="0.25">
      <c r="AF75" s="1"/>
      <c r="AG75" s="1"/>
      <c r="AH75" s="1"/>
      <c r="AI75" s="1"/>
      <c r="AJ75" s="1"/>
    </row>
    <row r="76" spans="3:36" ht="13" hidden="1" thickBot="1" x14ac:dyDescent="0.3">
      <c r="O76" s="58">
        <v>60</v>
      </c>
      <c r="P76" s="59">
        <f t="shared" ref="P76" si="30">Trafikstartår+O76</f>
        <v>2088</v>
      </c>
      <c r="Q76" s="60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2"/>
      <c r="AF76" s="1"/>
      <c r="AG76" s="1"/>
      <c r="AH76" s="1"/>
      <c r="AI76" s="1"/>
      <c r="AJ76" s="1"/>
    </row>
    <row r="77" spans="3:36" x14ac:dyDescent="0.25">
      <c r="S77" s="8"/>
      <c r="T77" s="6"/>
      <c r="U77" s="8"/>
      <c r="V77" s="44"/>
      <c r="W77" s="8"/>
      <c r="X77" s="8"/>
      <c r="Y77" s="8"/>
      <c r="Z77" s="8"/>
      <c r="AA77" s="8"/>
      <c r="AB77" s="8"/>
      <c r="AC77" s="8"/>
      <c r="AD77" s="8"/>
      <c r="AE77" s="8"/>
      <c r="AF77" s="1"/>
      <c r="AG77" s="1"/>
      <c r="AH77" s="1"/>
      <c r="AI77" s="1"/>
      <c r="AJ77" s="1"/>
    </row>
    <row r="78" spans="3:36" x14ac:dyDescent="0.25">
      <c r="S78" s="8"/>
      <c r="T78" s="6"/>
      <c r="U78" s="8"/>
      <c r="W78" s="8"/>
      <c r="X78" s="8"/>
      <c r="Y78" s="8"/>
      <c r="Z78" s="8"/>
      <c r="AA78" s="8"/>
      <c r="AB78" s="8"/>
      <c r="AC78" s="8"/>
      <c r="AD78" s="8"/>
      <c r="AE78" s="8"/>
      <c r="AF78" s="1"/>
      <c r="AG78" s="1"/>
      <c r="AH78" s="1"/>
      <c r="AI78" s="1"/>
      <c r="AJ78" s="1"/>
    </row>
    <row r="79" spans="3:36" x14ac:dyDescent="0.25">
      <c r="S79" s="8"/>
      <c r="T79" s="6"/>
      <c r="U79" s="8"/>
      <c r="W79" s="8"/>
      <c r="X79" s="8"/>
      <c r="Y79" s="8"/>
      <c r="Z79" s="8"/>
      <c r="AA79" s="8"/>
      <c r="AB79" s="8"/>
      <c r="AC79" s="8"/>
      <c r="AD79" s="8"/>
      <c r="AE79" s="8"/>
      <c r="AF79" s="1"/>
      <c r="AG79" s="1"/>
      <c r="AH79" s="1"/>
      <c r="AI79" s="1"/>
      <c r="AJ79" s="1"/>
    </row>
    <row r="80" spans="3:36" x14ac:dyDescent="0.25">
      <c r="C80" s="1"/>
      <c r="D80" s="1"/>
      <c r="E80" s="1"/>
      <c r="S80" s="8"/>
      <c r="T80" s="6"/>
      <c r="U80" s="8"/>
      <c r="W80" s="8"/>
      <c r="X80" s="8"/>
      <c r="Y80" s="8"/>
      <c r="Z80" s="8"/>
      <c r="AA80" s="8"/>
      <c r="AB80" s="8"/>
      <c r="AC80" s="8"/>
      <c r="AD80" s="8"/>
      <c r="AE80" s="8"/>
      <c r="AF80" s="1"/>
      <c r="AG80" s="1"/>
      <c r="AH80" s="1"/>
      <c r="AI80" s="1"/>
      <c r="AJ80" s="1"/>
    </row>
    <row r="81" spans="3:36" x14ac:dyDescent="0.25">
      <c r="C81" s="1"/>
      <c r="D81" s="1"/>
      <c r="E81" s="1"/>
      <c r="S81" s="8"/>
      <c r="T81" s="6"/>
      <c r="U81" s="8"/>
      <c r="W81" s="8"/>
      <c r="X81" s="8"/>
      <c r="Y81" s="8"/>
      <c r="Z81" s="8"/>
      <c r="AA81" s="8"/>
      <c r="AB81" s="8"/>
      <c r="AC81" s="8"/>
      <c r="AD81" s="8"/>
      <c r="AE81" s="8"/>
      <c r="AF81" s="1"/>
      <c r="AG81" s="1"/>
      <c r="AH81" s="1"/>
      <c r="AI81" s="1"/>
      <c r="AJ81" s="1"/>
    </row>
    <row r="82" spans="3:36" x14ac:dyDescent="0.25">
      <c r="C82" s="1"/>
      <c r="D82" s="1"/>
      <c r="E82" s="1"/>
      <c r="S82" s="8"/>
      <c r="T82" s="6"/>
      <c r="U82" s="8"/>
      <c r="W82" s="8"/>
      <c r="X82" s="8"/>
      <c r="Y82" s="8"/>
      <c r="Z82" s="8"/>
      <c r="AA82" s="8"/>
      <c r="AB82" s="8"/>
      <c r="AC82" s="8"/>
      <c r="AD82" s="8"/>
      <c r="AE82" s="8"/>
      <c r="AF82" s="1"/>
      <c r="AG82" s="1"/>
      <c r="AH82" s="1"/>
      <c r="AI82" s="1"/>
      <c r="AJ82" s="1"/>
    </row>
    <row r="83" spans="3:36" x14ac:dyDescent="0.25">
      <c r="C83" s="1"/>
      <c r="D83" s="1"/>
      <c r="E83" s="1"/>
      <c r="S83" s="8"/>
      <c r="T83" s="6"/>
      <c r="U83" s="8"/>
      <c r="W83" s="8"/>
      <c r="X83" s="8"/>
      <c r="Y83" s="8"/>
      <c r="Z83" s="8"/>
      <c r="AA83" s="8"/>
      <c r="AB83" s="8"/>
      <c r="AC83" s="8"/>
      <c r="AD83" s="8"/>
      <c r="AE83" s="8"/>
      <c r="AF83" s="1"/>
      <c r="AG83" s="1"/>
      <c r="AH83" s="1"/>
      <c r="AI83" s="1"/>
      <c r="AJ83" s="1"/>
    </row>
    <row r="84" spans="3:36" x14ac:dyDescent="0.25">
      <c r="C84" s="1"/>
      <c r="D84" s="1"/>
      <c r="E84" s="1"/>
      <c r="S84" s="8"/>
      <c r="T84" s="6"/>
      <c r="U84" s="8"/>
      <c r="W84" s="8"/>
      <c r="X84" s="8"/>
      <c r="Y84" s="8"/>
      <c r="Z84" s="8"/>
      <c r="AA84" s="8"/>
      <c r="AB84" s="8"/>
      <c r="AC84" s="8"/>
      <c r="AD84" s="8"/>
      <c r="AE84" s="8"/>
      <c r="AF84" s="1"/>
      <c r="AG84" s="1"/>
      <c r="AH84" s="1"/>
      <c r="AI84" s="1"/>
      <c r="AJ84" s="1"/>
    </row>
    <row r="85" spans="3:36" x14ac:dyDescent="0.25">
      <c r="C85" s="1"/>
      <c r="D85" s="1"/>
      <c r="E85" s="1"/>
      <c r="S85" s="8"/>
      <c r="T85" s="6"/>
      <c r="U85" s="8"/>
      <c r="W85" s="8"/>
      <c r="X85" s="8"/>
      <c r="Y85" s="8"/>
      <c r="Z85" s="8"/>
      <c r="AA85" s="8"/>
      <c r="AB85" s="8"/>
      <c r="AC85" s="8"/>
      <c r="AD85" s="8"/>
      <c r="AE85" s="8"/>
      <c r="AF85" s="1"/>
      <c r="AG85" s="1"/>
      <c r="AH85" s="1"/>
      <c r="AI85" s="1"/>
      <c r="AJ85" s="1"/>
    </row>
    <row r="86" spans="3:36" x14ac:dyDescent="0.25">
      <c r="C86" s="1"/>
      <c r="D86" s="1"/>
      <c r="E86" s="1"/>
      <c r="S86" s="8"/>
      <c r="T86" s="6"/>
      <c r="U86" s="8"/>
      <c r="W86" s="8"/>
      <c r="X86" s="8"/>
      <c r="Y86" s="8"/>
      <c r="Z86" s="8"/>
      <c r="AA86" s="8"/>
      <c r="AB86" s="8"/>
      <c r="AC86" s="8"/>
      <c r="AD86" s="8"/>
      <c r="AE86" s="8"/>
      <c r="AF86" s="1"/>
      <c r="AG86" s="1"/>
      <c r="AH86" s="1"/>
      <c r="AI86" s="1"/>
      <c r="AJ86" s="1"/>
    </row>
    <row r="87" spans="3:36" x14ac:dyDescent="0.25">
      <c r="C87" s="1"/>
      <c r="D87" s="1"/>
      <c r="E87" s="1"/>
      <c r="S87" s="8"/>
      <c r="T87" s="6"/>
      <c r="U87" s="8"/>
      <c r="W87" s="8"/>
      <c r="X87" s="8"/>
      <c r="Y87" s="8"/>
      <c r="Z87" s="8"/>
      <c r="AA87" s="8"/>
      <c r="AB87" s="8"/>
      <c r="AC87" s="8"/>
      <c r="AD87" s="8"/>
      <c r="AE87" s="8"/>
      <c r="AF87" s="1"/>
      <c r="AG87" s="1"/>
      <c r="AH87" s="1"/>
      <c r="AI87" s="1"/>
      <c r="AJ87" s="1"/>
    </row>
    <row r="88" spans="3:36" x14ac:dyDescent="0.25">
      <c r="C88" s="1"/>
      <c r="D88" s="1"/>
      <c r="E88" s="1"/>
      <c r="S88" s="8"/>
      <c r="T88" s="6"/>
      <c r="U88" s="8"/>
      <c r="W88" s="8"/>
      <c r="X88" s="8"/>
      <c r="Y88" s="8"/>
      <c r="Z88" s="8"/>
      <c r="AA88" s="8"/>
      <c r="AB88" s="8"/>
      <c r="AC88" s="8"/>
      <c r="AD88" s="8"/>
      <c r="AE88" s="8"/>
      <c r="AF88" s="1"/>
      <c r="AG88" s="1"/>
      <c r="AH88" s="1"/>
      <c r="AI88" s="1"/>
      <c r="AJ88" s="1"/>
    </row>
    <row r="89" spans="3:36" x14ac:dyDescent="0.25">
      <c r="C89" s="1"/>
      <c r="D89" s="1"/>
      <c r="E89" s="1"/>
      <c r="S89" s="8"/>
      <c r="T89" s="6"/>
      <c r="U89" s="8"/>
      <c r="W89" s="8"/>
      <c r="X89" s="8"/>
      <c r="Y89" s="8"/>
      <c r="Z89" s="8"/>
      <c r="AA89" s="8"/>
      <c r="AB89" s="8"/>
      <c r="AC89" s="8"/>
      <c r="AD89" s="8"/>
      <c r="AE89" s="8"/>
      <c r="AF89" s="1"/>
      <c r="AG89" s="1"/>
      <c r="AH89" s="1"/>
      <c r="AI89" s="1"/>
      <c r="AJ89" s="1"/>
    </row>
    <row r="90" spans="3:36" x14ac:dyDescent="0.25">
      <c r="C90" s="1"/>
      <c r="D90" s="1"/>
      <c r="E90" s="1"/>
      <c r="S90" s="8"/>
      <c r="T90" s="6"/>
      <c r="U90" s="8"/>
      <c r="W90" s="8"/>
      <c r="X90" s="8"/>
      <c r="Y90" s="8"/>
      <c r="Z90" s="8"/>
      <c r="AA90" s="8"/>
      <c r="AB90" s="8"/>
      <c r="AC90" s="8"/>
      <c r="AD90" s="8"/>
      <c r="AE90" s="8"/>
      <c r="AF90" s="1"/>
      <c r="AG90" s="1"/>
      <c r="AH90" s="1"/>
      <c r="AI90" s="1"/>
      <c r="AJ90" s="1"/>
    </row>
    <row r="91" spans="3:36" x14ac:dyDescent="0.25">
      <c r="C91" s="1"/>
      <c r="D91" s="1"/>
      <c r="E91" s="1"/>
      <c r="S91" s="8"/>
      <c r="T91" s="6"/>
      <c r="U91" s="8"/>
      <c r="W91" s="8"/>
      <c r="X91" s="8"/>
      <c r="Y91" s="8"/>
      <c r="Z91" s="8"/>
      <c r="AA91" s="8"/>
      <c r="AB91" s="8"/>
      <c r="AF91" s="1"/>
      <c r="AG91" s="1"/>
      <c r="AH91" s="1"/>
      <c r="AI91" s="1"/>
      <c r="AJ91" s="1"/>
    </row>
    <row r="92" spans="3:36" x14ac:dyDescent="0.25">
      <c r="C92" s="1"/>
      <c r="D92" s="1"/>
      <c r="E92" s="1"/>
      <c r="S92" s="8"/>
      <c r="T92" s="6"/>
      <c r="U92" s="8"/>
      <c r="W92" s="8"/>
      <c r="X92" s="8"/>
      <c r="Y92" s="8"/>
      <c r="Z92" s="8"/>
      <c r="AA92" s="8"/>
      <c r="AB92" s="8"/>
      <c r="AF92" s="1"/>
      <c r="AG92" s="1"/>
      <c r="AH92" s="1"/>
      <c r="AI92" s="1"/>
      <c r="AJ92" s="1"/>
    </row>
    <row r="93" spans="3:36" x14ac:dyDescent="0.25">
      <c r="C93" s="1"/>
      <c r="D93" s="1"/>
      <c r="E93" s="1"/>
      <c r="S93" s="8"/>
      <c r="T93" s="6"/>
      <c r="U93" s="8"/>
      <c r="W93" s="8"/>
      <c r="X93" s="8"/>
      <c r="Y93" s="8"/>
      <c r="Z93" s="8"/>
      <c r="AA93" s="8"/>
      <c r="AB93" s="8"/>
    </row>
    <row r="94" spans="3:36" x14ac:dyDescent="0.25">
      <c r="C94" s="1"/>
      <c r="D94" s="1"/>
      <c r="E94" s="1"/>
      <c r="S94" s="8"/>
      <c r="T94" s="6"/>
      <c r="U94" s="8"/>
      <c r="W94" s="8"/>
      <c r="X94" s="8"/>
      <c r="Y94" s="8"/>
      <c r="Z94" s="8"/>
      <c r="AA94" s="8"/>
      <c r="AB94" s="8"/>
    </row>
    <row r="95" spans="3:36" x14ac:dyDescent="0.25">
      <c r="C95" s="1"/>
      <c r="D95" s="1"/>
      <c r="S95" s="8"/>
      <c r="T95" s="6"/>
      <c r="U95" s="8"/>
      <c r="W95" s="8"/>
      <c r="X95" s="8"/>
      <c r="Y95" s="8"/>
      <c r="Z95" s="8"/>
      <c r="AA95" s="8"/>
      <c r="AB95" s="8"/>
    </row>
    <row r="96" spans="3:36" x14ac:dyDescent="0.25">
      <c r="C96" s="1"/>
      <c r="D96" s="1"/>
      <c r="S96" s="8"/>
      <c r="T96" s="6"/>
      <c r="U96" s="8"/>
      <c r="W96" s="8"/>
      <c r="X96" s="8"/>
      <c r="Y96" s="8"/>
      <c r="Z96" s="8"/>
      <c r="AA96" s="8"/>
      <c r="AB96" s="8"/>
    </row>
    <row r="97" spans="20:20" x14ac:dyDescent="0.25">
      <c r="T97" s="43"/>
    </row>
    <row r="98" spans="20:20" x14ac:dyDescent="0.25">
      <c r="T98" s="43"/>
    </row>
    <row r="99" spans="20:20" x14ac:dyDescent="0.25">
      <c r="T99" s="43"/>
    </row>
  </sheetData>
  <conditionalFormatting sqref="Q4">
    <cfRule type="expression" priority="125">
      <formula>IF(L30&gt;$D$16,TRUE,FALSE)</formula>
    </cfRule>
  </conditionalFormatting>
  <conditionalFormatting sqref="Q4">
    <cfRule type="expression" priority="129">
      <formula>IF(#REF!&gt;$D$16,TRUE,FALSE)</formula>
    </cfRule>
  </conditionalFormatting>
  <conditionalFormatting sqref="H13 H7">
    <cfRule type="expression" priority="4">
      <formula>IF(D10&gt;$D$17,TRUE,FALSE)</formula>
    </cfRule>
  </conditionalFormatting>
  <conditionalFormatting sqref="H12">
    <cfRule type="expression" priority="5">
      <formula>IF(#REF!&gt;$D$17,TRUE,FALSE)</formula>
    </cfRule>
  </conditionalFormatting>
  <conditionalFormatting sqref="H14">
    <cfRule type="expression" priority="6">
      <formula>IF(D15&gt;$D$17,TRUE,FALSE)</formula>
    </cfRule>
  </conditionalFormatting>
  <conditionalFormatting sqref="H10:H11">
    <cfRule type="expression" priority="7">
      <formula>IF(#REF!&gt;$D$17,TRUE,FALSE)</formula>
    </cfRule>
  </conditionalFormatting>
  <conditionalFormatting sqref="H17">
    <cfRule type="expression" priority="8">
      <formula>IF(#REF!&gt;$D$17,TRUE,FALSE)</formula>
    </cfRule>
  </conditionalFormatting>
  <conditionalFormatting sqref="H15">
    <cfRule type="expression" priority="2">
      <formula>IF(#REF!&gt;$D$17,TRUE,FALSE)</formula>
    </cfRule>
  </conditionalFormatting>
  <conditionalFormatting sqref="H8:H9">
    <cfRule type="expression" priority="11">
      <formula>IF(D12&gt;$D$17,TRUE,FALSE)</formula>
    </cfRule>
  </conditionalFormatting>
  <conditionalFormatting sqref="H13">
    <cfRule type="expression" priority="1">
      <formula>IF(#REF!&gt;$D$17,TRUE,FALSE)</formula>
    </cfRule>
  </conditionalFormatting>
  <conditionalFormatting sqref="H14">
    <cfRule type="expression" priority="131">
      <formula>IF(#REF!&gt;$D$17,TRUE,FALSE)</formula>
    </cfRule>
  </conditionalFormatting>
  <conditionalFormatting sqref="H12:H13">
    <cfRule type="expression" priority="133">
      <formula>IF(#REF!&gt;$D$17,TRUE,FALSE)</formula>
    </cfRule>
  </conditionalFormatting>
  <conditionalFormatting sqref="H7:H11">
    <cfRule type="expression" priority="134">
      <formula>IF(#REF!&gt;$D$17,TRUE,FALSE)</formula>
    </cfRule>
  </conditionalFormatting>
  <conditionalFormatting sqref="H17">
    <cfRule type="expression" priority="135">
      <formula>IF(D41&gt;$D$17,TRUE,FALSE)</formula>
    </cfRule>
  </conditionalFormatting>
  <conditionalFormatting sqref="H15">
    <cfRule type="expression" priority="136">
      <formula>IF(#REF!&gt;$D$17,TRUE,FALSE)</formula>
    </cfRule>
  </conditionalFormatting>
  <pageMargins left="0.25" right="0.25" top="0.75" bottom="0.75" header="0.3" footer="0.3"/>
  <pageSetup paperSize="9" scale="70" orientation="portrait" r:id="rId1"/>
  <headerFooter alignWithMargins="0">
    <oddHeader>&amp;LFil: &amp;F&amp;CLönkalk 3.0 version 2016-04-01&amp;RUtförd: &amp;D</oddHeader>
    <oddFooter>&amp;C&amp;P(&amp;N)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FB0CE-2116-4582-BDB4-64822FFF40EA}">
  <dimension ref="A12:A13"/>
  <sheetViews>
    <sheetView workbookViewId="0">
      <selection activeCell="D39" sqref="D39"/>
    </sheetView>
  </sheetViews>
  <sheetFormatPr defaultRowHeight="12.5" x14ac:dyDescent="0.25"/>
  <cols>
    <col min="4" max="4" width="11.7265625" customWidth="1"/>
    <col min="5" max="5" width="18" customWidth="1"/>
    <col min="6" max="6" width="20.1796875" customWidth="1"/>
  </cols>
  <sheetData>
    <row r="12" ht="14.25" customHeight="1" x14ac:dyDescent="0.25"/>
    <row r="13" ht="14.25" customHeight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ppladdat arbetsrumsdokument" ma:contentTypeID="0x0101002EE44F411E754ABAB6EB27FC7D8442BF00FBDC29B7F7B140FA848AB6ABEF7636D900C7B4A579F8BA8D40B7676CF6BA55D0EF" ma:contentTypeVersion="4" ma:contentTypeDescription="Dokument som inte utgår från en av Trafikverket godkänd dokumentmall." ma:contentTypeScope="" ma:versionID="c766dcaad0c6d1b528504a9b7381286d">
  <xsd:schema xmlns:xsd="http://www.w3.org/2001/XMLSchema" xmlns:xs="http://www.w3.org/2001/XMLSchema" xmlns:p="http://schemas.microsoft.com/office/2006/metadata/properties" xmlns:ns1="Trafikverket" xmlns:ns3="36ad2b8f-2181-4457-9253-31459ed4b018" targetNamespace="http://schemas.microsoft.com/office/2006/metadata/properties" ma:root="true" ma:fieldsID="6b8c88df11331125eeaca5ecb53db9ce" ns1:_="" ns3:_="">
    <xsd:import namespace="Trafikverket"/>
    <xsd:import namespace="36ad2b8f-2181-4457-9253-31459ed4b018"/>
    <xsd:element name="properties">
      <xsd:complexType>
        <xsd:sequence>
          <xsd:element name="documentManagement">
            <xsd:complexType>
              <xsd:all>
                <xsd:element ref="ns1:Skapat_x0020_av_x0020_NY"/>
                <xsd:element ref="ns1:Dokumentdatum_x0020_NY"/>
                <xsd:element ref="ns1:TRVversionNY" minOccurs="0"/>
                <xsd:element ref="ns1:TrvDocumentTemplateId" minOccurs="0"/>
                <xsd:element ref="ns1:TrvDocumentTemplateVersion" minOccurs="0"/>
                <xsd:element ref="ns3:TrvUploadedDocumentTypeTaxHTField0" minOccurs="0"/>
                <xsd:element ref="ns3:TaxCatchAll" minOccurs="0"/>
                <xsd:element ref="ns3:TaxCatchAllLabel" minOccurs="0"/>
                <xsd:element ref="ns3:TrvConfidentialityLevel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Trafikverket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0" ma:displayName="Skapat av" ma:description="Namn och organisationsbeteckning för den person som skapat dokumentet." ma:internalName="TrvCreatedBy" ma:readOnly="false">
      <xsd:simpleType>
        <xsd:restriction base="dms:Text"/>
      </xsd:simpleType>
    </xsd:element>
    <xsd:element name="Dokumentdatum_x0020_NY" ma:index="2" ma:displayName="Dokumentdatum" ma:description="Datum för nuvarande version" ma:format="DateOnly" ma:internalName="TrvDocumentDate" ma:readOnly="false">
      <xsd:simpleType>
        <xsd:restriction base="dms:DateTime"/>
      </xsd:simpleType>
    </xsd:element>
    <xsd:element name="TRVversionNY" ma:index="8" nillable="true" ma:displayName="Version" ma:description="Dokumentets versionsnummer" ma:internalName="TrvVersion" ma:readOnly="true">
      <xsd:simpleType>
        <xsd:restriction base="dms:Text"/>
      </xsd:simpleType>
    </xsd:element>
    <xsd:element name="TrvDocumentTemplateId" ma:index="9" nillable="true" ma:displayName="TMALL-nummer" ma:description="Unik sträng eller nummer som identifierar dokumentmallen. Värdet sätts av respektive system." ma:internalName="TrvDocumentTemplateId" ma:readOnly="true">
      <xsd:simpleType>
        <xsd:restriction base="dms:Text"/>
      </xsd:simpleType>
    </xsd:element>
    <xsd:element name="TrvDocumentTemplateVersion" ma:index="10" nillable="true" ma:displayName="Mallversion" ma:description="Dokumentmallens versionsnummer" ma:internalName="TrvDocumentTemplateVers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d2b8f-2181-4457-9253-31459ed4b018" elementFormDefault="qualified">
    <xsd:import namespace="http://schemas.microsoft.com/office/2006/documentManagement/types"/>
    <xsd:import namespace="http://schemas.microsoft.com/office/infopath/2007/PartnerControls"/>
    <xsd:element name="TrvUploadedDocumentTypeTaxHTField0" ma:index="13" ma:taxonomy="true" ma:internalName="TrvUploadedDocumentTypeTaxHTField0" ma:taxonomyFieldName="TrvUploadedDocumentType" ma:displayName="Dokumenttyp för uppladdade dokument" ma:readOnly="false" ma:default="149;#UPPLADDAT DOKUMENT|7c5b34d8-57da-44ed-9451-2f10a78af863" ma:fieldId="{eb96df49-af7b-4885-ae87-85b965eb0ad2}" ma:sspId="186cccb1-9fab-4187-b54f-d2fc3705fc8a" ma:termSetId="152f56a5-fdb2-4180-8a6e-79ef00400bc3" ma:anchorId="238613c4-8162-47c5-b0c8-3db178651ae8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289d0a56-51c6-4062-bcef-f5e7a34ed71c}" ma:internalName="TaxCatchAll" ma:showField="CatchAllData" ma:web="36ad2b8f-2181-4457-9253-31459ed4b0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289d0a56-51c6-4062-bcef-f5e7a34ed71c}" ma:internalName="TaxCatchAllLabel" ma:readOnly="true" ma:showField="CatchAllDataLabel" ma:web="36ad2b8f-2181-4457-9253-31459ed4b0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vConfidentialityLevelTaxHTField0" ma:index="17" ma:taxonomy="true" ma:internalName="TrvConfidentialityLevelTaxHTField0" ma:taxonomyFieldName="TrvConfidentialityLevel" ma:displayName="Konfidentialitetsnivå" ma:readOnly="false" ma:default="" ma:fieldId="{a84a37ca-5c43-43e3-a37a-c23c41d1607d}" ma:sspId="186cccb1-9fab-4187-b54f-d2fc3705fc8a" ma:termSetId="4d666f29-dc73-4030-952a-63de8896f3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nehållstyp"/>
        <xsd:element ref="dc:title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6ad2b8f-2181-4457-9253-31459ed4b018">
      <Value>149</Value>
      <Value>159</Value>
    </TaxCatchAll>
    <Dokumentdatum_x0020_NY xmlns="Trafikverket">2022-07-07T22:00:00+00:00</Dokumentdatum_x0020_NY>
    <Skapat_x0020_av_x0020_NY xmlns="Trafikverket">Kristina Mattsson</Skapat_x0020_av_x0020_NY>
    <TrvUploadedDocumentTypeTaxHTField0 xmlns="36ad2b8f-2181-4457-9253-31459ed4b018">
      <Terms xmlns="http://schemas.microsoft.com/office/infopath/2007/PartnerControls">
        <TermInfo xmlns="http://schemas.microsoft.com/office/infopath/2007/PartnerControls">
          <TermName xmlns="http://schemas.microsoft.com/office/infopath/2007/PartnerControls">UPPLADDAT DOKUMENT</TermName>
          <TermId xmlns="http://schemas.microsoft.com/office/infopath/2007/PartnerControls">7c5b34d8-57da-44ed-9451-2f10a78af863</TermId>
        </TermInfo>
      </Terms>
    </TrvUploadedDocumentTypeTaxHTField0>
    <TrvConfidentialityLevelTaxHTField0 xmlns="36ad2b8f-2181-4457-9253-31459ed4b01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Intern</TermName>
          <TermId xmlns="http://schemas.microsoft.com/office/infopath/2007/PartnerControls">13d1762d-2ea9-450d-b05e-1ff9ba31b2a4</TermId>
        </TermInfo>
      </Terms>
    </TrvConfidentialityLevelTaxHTField0>
    <TRVversionNY xmlns="Trafikverket">0.1</TRVversionNY>
  </documentManagement>
</p:properties>
</file>

<file path=customXml/itemProps1.xml><?xml version="1.0" encoding="utf-8"?>
<ds:datastoreItem xmlns:ds="http://schemas.openxmlformats.org/officeDocument/2006/customXml" ds:itemID="{1BAE72F0-BF2F-4A53-9E49-9E00B9637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Trafikverket"/>
    <ds:schemaRef ds:uri="36ad2b8f-2181-4457-9253-31459ed4b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2FEC2F-E1C6-4FD6-AB66-6A36727B9D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ED87DC-645A-480C-861D-79D40F13772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Trafikverket"/>
    <ds:schemaRef ds:uri="http://purl.org/dc/elements/1.1/"/>
    <ds:schemaRef ds:uri="http://schemas.microsoft.com/office/2006/metadata/properties"/>
    <ds:schemaRef ds:uri="36ad2b8f-2181-4457-9253-31459ed4b01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5</vt:i4>
      </vt:variant>
    </vt:vector>
  </HeadingPairs>
  <TitlesOfParts>
    <vt:vector size="7" baseType="lpstr">
      <vt:lpstr>Diskonteringsverktyg</vt:lpstr>
      <vt:lpstr>Information</vt:lpstr>
      <vt:lpstr>Diskonteringsverktyg!Diskonteringsår</vt:lpstr>
      <vt:lpstr>Diskonteringsverktyg!Diskonteringsåret</vt:lpstr>
      <vt:lpstr>Diskonteringsverktyg!KALKYLPERIOD</vt:lpstr>
      <vt:lpstr>Diskonteringsverktyg!Trafikstartår</vt:lpstr>
      <vt:lpstr>Diskonteringsverktyg!Utskriftsområde</vt:lpstr>
    </vt:vector>
  </TitlesOfParts>
  <Company>Vägverket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lonkalk-2020-1.0-_med felsökning</dc:title>
  <dc:creator>Franzon, Anita Konsult</dc:creator>
  <cp:lastModifiedBy>Grudemo Stefan, PLee</cp:lastModifiedBy>
  <cp:lastPrinted>2016-03-16T08:08:10Z</cp:lastPrinted>
  <dcterms:created xsi:type="dcterms:W3CDTF">2007-11-21T18:15:52Z</dcterms:created>
  <dcterms:modified xsi:type="dcterms:W3CDTF">2024-02-29T15:53:08Z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0x0101002EE44F411E754ABAB6EB27FC7D8442BF00FBDC29B7F7B140FA848AB6ABEF7636D900C7B4A579F8BA8D40B7676CF6BA55D0EF</vt:lpwstr>
  </property>
  <property fmtid="{D5CDD505-2E9C-101B-9397-08002B2CF9AE}" pid="3" name="TrvUploadedDocumentType">
    <vt:lpwstr>149</vt:lpwstr>
  </property>
  <property fmtid="{D5CDD505-2E9C-101B-9397-08002B2CF9AE}" pid="4" name="TrvConfidentialityLevel">
    <vt:lpwstr>159</vt:lpwstr>
  </property>
  <property fmtid="{D5CDD505-2E9C-101B-9397-08002B2CF9AE}" pid="5" name="TrvDocumentType">
    <vt:lpwstr>149</vt:lpwstr>
  </property>
  <property fmtid="{D5CDD505-2E9C-101B-9397-08002B2CF9AE}" pid="6" name="TrvDocumentTypeTaxHTField0">
    <vt:lpwstr>UPPLADDAT DOKUMENT|7c5b34d8-57da-44ed-9451-2f10a78af863</vt:lpwstr>
  </property>
</Properties>
</file>